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ables/table2.xml" ContentType="application/vnd.openxmlformats-officedocument.spreadsheetml.table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eb570b39e4e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eca97bc86b814a25"/>
    <x:sheet xmlns:r="http://schemas.openxmlformats.org/officeDocument/2006/relationships" name="Assumptions" sheetId="2" r:id="Rb55e7fa7a4d5459b"/>
    <x:sheet xmlns:r="http://schemas.openxmlformats.org/officeDocument/2006/relationships" name="Build_CAPEX" sheetId="3" r:id="Rd4144b5bef8b447a"/>
    <x:sheet xmlns:r="http://schemas.openxmlformats.org/officeDocument/2006/relationships" name="Build_Schedule" sheetId="4" r:id="Rcff42b777d9b4be4"/>
    <x:sheet xmlns:r="http://schemas.openxmlformats.org/officeDocument/2006/relationships" name="Operating_OPEX" sheetId="5" r:id="R245e539f6f7741f5"/>
    <x:sheet xmlns:r="http://schemas.openxmlformats.org/officeDocument/2006/relationships" name="PnL_36M" sheetId="6" r:id="Rf78f5ab6a47d451d"/>
    <x:sheet xmlns:r="http://schemas.openxmlformats.org/officeDocument/2006/relationships" name="Cash_Flow" sheetId="7" r:id="R4af7d40ae88442bf"/>
    <x:sheet xmlns:r="http://schemas.openxmlformats.org/officeDocument/2006/relationships" name="Investor_Returns" sheetId="8" r:id="R841f65ab2fbf4cc2"/>
    <x:sheet xmlns:r="http://schemas.openxmlformats.org/officeDocument/2006/relationships" name="Scenarios" sheetId="9" r:id="R9e2b70b6a4464a71"/>
    <x:sheet xmlns:r="http://schemas.openxmlformats.org/officeDocument/2006/relationships" name="Checks" sheetId="10" r:id="Rcbe2ba7a08534036"/>
    <x:sheet xmlns:r="http://schemas.openxmlformats.org/officeDocument/2006/relationships" name="Sources" sheetId="11" r:id="R93be854329b84755"/>
    <x:sheet xmlns:r="http://schemas.openxmlformats.org/officeDocument/2006/relationships" name="Commercial_Rates" sheetId="12" r:id="R3b8819cca706405a"/>
    <x:sheet xmlns:r="http://schemas.openxmlformats.org/officeDocument/2006/relationships" name="Procurement_v02" sheetId="13" r:id="R224f7e2cb1674a36"/>
    <x:sheet xmlns:r="http://schemas.openxmlformats.org/officeDocument/2006/relationships" name="Audit_v03" sheetId="14" r:id="R66787d31cbf445c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9">
    <x:numFmt numFmtId="200" formatCode="yyyy-mm-dd"/>
    <x:numFmt numFmtId="201" formatCode="0.0%;[Red](0.0%);-"/>
    <x:numFmt numFmtId="202" formatCode="#,##0;[Red](#,##0);-"/>
    <x:numFmt numFmtId="203" formatCode="0.0x"/>
    <x:numFmt numFmtId="204" formatCode="0.00x"/>
    <x:numFmt numFmtId="205" formatCode="mmm-yy"/>
    <x:numFmt numFmtId="206" formatCode="#,##0 &quot;₽&quot;"/>
    <x:numFmt numFmtId="207" formatCode="0.0%"/>
    <x:numFmt numFmtId="208" formatCode="0.0"/>
  </x:numFmts>
  <x:fonts count="16">
    <x:font>
      <x:sz val="11"/>
      <x:name val="Carlito"/>
    </x:font>
    <x:font>
      <x:sz val="10"/>
      <x:color rgb="FF111111"/>
      <x:name val="Aptos"/>
    </x:font>
    <x:font>
      <x:b/>
      <x:sz val="18"/>
      <x:color rgb="FFFFFFFF"/>
      <x:name val="Aptos"/>
    </x:font>
    <x:font>
      <x:sz val="9"/>
      <x:color rgb="FF53665B"/>
      <x:name val="Carlito"/>
    </x:font>
    <x:font>
      <x:b/>
      <x:sz val="11"/>
      <x:color rgb="FFFFFFFF"/>
      <x:name val="Carlito"/>
    </x:font>
    <x:font>
      <x:b/>
      <x:sz val="11"/>
      <x:color rgb="FF33443A"/>
      <x:name val="Carlito"/>
    </x:font>
    <x:font>
      <x:sz val="11"/>
      <x:color rgb="FF0000FF"/>
      <x:name val="Carlito"/>
    </x:font>
    <x:font>
      <x:b/>
      <x:sz val="11"/>
      <x:color rgb="FF26352D"/>
      <x:name val="Carlito"/>
    </x:font>
    <x:font>
      <x:b/>
      <x:sz val="11"/>
      <x:color rgb="FF111111"/>
      <x:name val="Carlito"/>
    </x:font>
    <x:font>
      <x:sz val="11"/>
      <x:color rgb="FF008000"/>
      <x:name val="Carlito"/>
    </x:font>
    <x:font>
      <x:sz val="8"/>
      <x:color rgb="FFFF0000"/>
      <x:name val="Carlito"/>
    </x:font>
    <x:font>
      <x:b/>
      <x:sz val="11"/>
      <x:color rgb="FF5A4815"/>
      <x:name val="Carlito"/>
    </x:font>
    <x:font>
      <x:b/>
      <x:sz val="9"/>
      <x:color rgb="FF58675E"/>
      <x:name val="Carlito"/>
    </x:font>
    <x:font>
      <x:b/>
      <x:sz val="18"/>
      <x:color rgb="FF2D6B4D"/>
      <x:name val="Carlito"/>
    </x:font>
    <x:font>
      <x:b/>
      <x:sz val="16"/>
      <x:color rgb="FF173C2D"/>
      <x:name val="Carlito"/>
    </x:font>
    <x:font>
      <x:b/>
      <x:sz val="11"/>
      <x:color rgb="FF173C2D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C2D"/>
      </x:patternFill>
    </x:fill>
    <x:fill>
      <x:patternFill patternType="solid">
        <x:fgColor rgb="FFE7ECE7"/>
      </x:patternFill>
    </x:fill>
    <x:fill>
      <x:patternFill patternType="solid">
        <x:fgColor rgb="FFDDE5DE"/>
      </x:patternFill>
    </x:fill>
    <x:fill>
      <x:patternFill patternType="solid">
        <x:fgColor rgb="FFEFF2ED"/>
      </x:patternFill>
    </x:fill>
    <x:fill>
      <x:patternFill patternType="solid">
        <x:fgColor rgb="FFFFF0B3"/>
      </x:patternFill>
    </x:fill>
    <x:fill>
      <x:patternFill patternType="solid">
        <x:fgColor rgb="FFE6ECE6"/>
      </x:patternFill>
    </x:fill>
    <x:fill>
      <x:patternFill patternType="solid">
        <x:fgColor rgb="FFF7F6F1"/>
      </x:patternFill>
    </x:fill>
    <x:fill>
      <x:patternFill patternType="solid">
        <x:fgColor rgb="FFEEF5FF"/>
      </x:patternFill>
    </x:fill>
  </x:fills>
  <x:borders count="25">
    <x:border/>
    <x:border>
      <x:left style="thin">
        <x:color rgb="FFD7DED8"/>
      </x:left>
      <x:top style="thin">
        <x:color rgb="FFD7DED8"/>
      </x:top>
      <x:bottom style="thin">
        <x:color rgb="FFD7DED8"/>
      </x:bottom>
    </x:border>
    <x:border>
      <x:top style="thin">
        <x:color rgb="FFD7DED8"/>
      </x:top>
      <x:bottom style="thin">
        <x:color rgb="FFD7DED8"/>
      </x:bottom>
    </x:border>
    <x:border>
      <x:right style="thin">
        <x:color rgb="FFD7DED8"/>
      </x:right>
      <x:top style="thin">
        <x:color rgb="FFD7DED8"/>
      </x:top>
      <x:bottom style="thin">
        <x:color rgb="FFD7DED8"/>
      </x:bottom>
    </x:border>
    <x:border>
      <x:left style="thin">
        <x:color rgb="FFD7DED8"/>
      </x:left>
      <x:right style="thin">
        <x:color rgb="FFD7DED8"/>
      </x:right>
      <x:top style="thin">
        <x:color rgb="FFD7DED8"/>
      </x:top>
      <x:bottom style="thin">
        <x:color rgb="FFD7DED8"/>
      </x:bottom>
    </x:border>
    <x:border>
      <x:top style="thin">
        <x:color rgb="FF5E6E65"/>
      </x:top>
    </x:border>
    <x:border>
      <x:left style="thin">
        <x:color rgb="FFD7DED8"/>
      </x:left>
      <x:right style="thin">
        <x:color rgb="FFE5E8E4"/>
      </x:right>
      <x:top style="thin">
        <x:color rgb="FFD7DED8"/>
      </x:top>
      <x:bottom style="thin">
        <x:color rgb="FFE5E8E4"/>
      </x:bottom>
    </x:border>
    <x:border>
      <x:left style="thin">
        <x:color rgb="FFE5E8E4"/>
      </x:left>
      <x:right style="thin">
        <x:color rgb="FFE5E8E4"/>
      </x:right>
      <x:top style="thin">
        <x:color rgb="FFD7DED8"/>
      </x:top>
      <x:bottom style="thin">
        <x:color rgb="FFE5E8E4"/>
      </x:bottom>
    </x:border>
    <x:border>
      <x:left style="thin">
        <x:color rgb="FFE5E8E4"/>
      </x:left>
      <x:top style="thin">
        <x:color rgb="FFD7DED8"/>
      </x:top>
      <x:bottom style="thin">
        <x:color rgb="FFE5E8E4"/>
      </x:bottom>
    </x:border>
    <x:border>
      <x:left style="thin">
        <x:color rgb="FFD7DED8"/>
      </x:left>
      <x:right style="thin">
        <x:color rgb="FFE5E8E4"/>
      </x:right>
      <x:top style="thin">
        <x:color rgb="FFE5E8E4"/>
      </x:top>
      <x:bottom style="thin">
        <x:color rgb="FFE5E8E4"/>
      </x:bottom>
    </x:border>
    <x:border>
      <x:left style="thin">
        <x:color rgb="FFE5E8E4"/>
      </x:left>
      <x:right style="thin">
        <x:color rgb="FFE5E8E4"/>
      </x:right>
      <x:top style="thin">
        <x:color rgb="FFE5E8E4"/>
      </x:top>
      <x:bottom style="thin">
        <x:color rgb="FFE5E8E4"/>
      </x:bottom>
    </x:border>
    <x:border>
      <x:left style="thin">
        <x:color rgb="FFE5E8E4"/>
      </x:left>
      <x:top style="thin">
        <x:color rgb="FFE5E8E4"/>
      </x:top>
      <x:bottom style="thin">
        <x:color rgb="FFE5E8E4"/>
      </x:bottom>
    </x:border>
    <x:border>
      <x:left style="thin">
        <x:color rgb="FFD7DED8"/>
      </x:left>
      <x:right style="thin">
        <x:color rgb="FFE5E8E4"/>
      </x:right>
      <x:top style="thin">
        <x:color rgb="FFE5E8E4"/>
      </x:top>
      <x:bottom style="thin">
        <x:color rgb="FFD7DED8"/>
      </x:bottom>
    </x:border>
    <x:border>
      <x:left style="thin">
        <x:color rgb="FFE5E8E4"/>
      </x:left>
      <x:right style="thin">
        <x:color rgb="FFE5E8E4"/>
      </x:right>
      <x:top style="thin">
        <x:color rgb="FFE5E8E4"/>
      </x:top>
      <x:bottom style="thin">
        <x:color rgb="FFD7DED8"/>
      </x:bottom>
    </x:border>
    <x:border>
      <x:left style="thin">
        <x:color rgb="FFE5E8E4"/>
      </x:left>
      <x:top style="thin">
        <x:color rgb="FFE5E8E4"/>
      </x:top>
      <x:bottom style="thin">
        <x:color rgb="FFD7DED8"/>
      </x:bottom>
    </x:border>
    <x:border>
      <x:top style="thin">
        <x:color rgb="FFD7DED8"/>
      </x:top>
    </x:border>
    <x:border>
      <x:right style="thin">
        <x:color rgb="FFE6E2D9"/>
      </x:right>
      <x:bottom style="thin">
        <x:color rgb="FFE6E2D9"/>
      </x:bottom>
    </x:border>
    <x:border>
      <x:left style="thin">
        <x:color rgb="FFE6E2D9"/>
      </x:left>
      <x:right style="thin">
        <x:color rgb="FFE6E2D9"/>
      </x:right>
      <x:bottom style="thin">
        <x:color rgb="FFE6E2D9"/>
      </x:bottom>
    </x:border>
    <x:border>
      <x:left style="thin">
        <x:color rgb="FFE6E2D9"/>
      </x:left>
      <x:bottom style="thin">
        <x:color rgb="FFE6E2D9"/>
      </x:bottom>
    </x:border>
    <x:border>
      <x:right style="thin">
        <x:color rgb="FFE6E2D9"/>
      </x:right>
      <x:top style="thin">
        <x:color rgb="FFE6E2D9"/>
      </x:top>
      <x:bottom style="thin">
        <x:color rgb="FFE6E2D9"/>
      </x:bottom>
    </x:border>
    <x:border>
      <x:left style="thin">
        <x:color rgb="FFE6E2D9"/>
      </x:left>
      <x:right style="thin">
        <x:color rgb="FFE6E2D9"/>
      </x:right>
      <x:top style="thin">
        <x:color rgb="FFE6E2D9"/>
      </x:top>
      <x:bottom style="thin">
        <x:color rgb="FFE6E2D9"/>
      </x:bottom>
    </x:border>
    <x:border>
      <x:left style="thin">
        <x:color rgb="FFE6E2D9"/>
      </x:left>
      <x:top style="thin">
        <x:color rgb="FFE6E2D9"/>
      </x:top>
      <x:bottom style="thin">
        <x:color rgb="FFE6E2D9"/>
      </x:bottom>
    </x:border>
    <x:border>
      <x:right style="thin">
        <x:color rgb="FFE6E2D9"/>
      </x:right>
      <x:top style="thin">
        <x:color rgb="FFE6E2D9"/>
      </x:top>
    </x:border>
    <x:border>
      <x:left style="thin">
        <x:color rgb="FFE6E2D9"/>
      </x:left>
      <x:right style="thin">
        <x:color rgb="FFE6E2D9"/>
      </x:right>
      <x:top style="thin">
        <x:color rgb="FFE6E2D9"/>
      </x:top>
    </x:border>
    <x:border>
      <x:left style="thin">
        <x:color rgb="FFE6E2D9"/>
      </x:left>
      <x:top style="thin">
        <x:color rgb="FFE6E2D9"/>
      </x:top>
    </x:border>
  </x:borders>
  <x:cellStyleXfs count="1">
    <x:xf numFmtId="0" fontId="0" fillId="0" borderId="0"/>
  </x:cellStyleXfs>
  <x:cellXfs count="169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200" fontId="6" fillId="0" borderId="0" xfId="0" applyNumberFormat="1" applyFont="1" applyFill="1" applyBorder="1"/>
    <x:xf numFmtId="201" fontId="6" fillId="0" borderId="0" xfId="0" applyNumberFormat="1" applyFont="1" applyFill="1" applyBorder="1"/>
    <x:xf numFmtId="202" fontId="6" fillId="0" borderId="0" xfId="0" applyNumberFormat="1" applyFont="1" applyFill="1" applyBorder="1"/>
    <x:xf numFmtId="203" fontId="6" fillId="0" borderId="0" xfId="0" applyNumberFormat="1" applyFont="1" applyFill="1" applyBorder="1"/>
    <x:xf numFmtId="0" fontId="0" fillId="4" borderId="0" xfId="0" applyNumberFormat="1" applyFont="1" applyFill="1" applyBorder="1"/>
    <x:xf numFmtId="0" fontId="7" fillId="4" borderId="0" xfId="0" applyNumberFormat="1" applyFont="1" applyFill="1" applyBorder="1"/>
    <x:xf numFmtId="0" fontId="7" fillId="4" borderId="1" xfId="0" applyNumberFormat="1" applyFont="1" applyFill="1" applyBorder="1"/>
    <x:xf numFmtId="0" fontId="7" fillId="4" borderId="2" xfId="0" applyNumberFormat="1" applyFont="1" applyFill="1" applyBorder="1"/>
    <x:xf numFmtId="0" fontId="7" fillId="4" borderId="3" xfId="0" applyNumberFormat="1" applyFont="1" applyFill="1" applyBorder="1"/>
    <x:xf numFmtId="0" fontId="7" fillId="4" borderId="1" xfId="0" applyNumberFormat="1" applyFont="1" applyFill="1" applyBorder="1" applyAlignment="1">
      <x:alignment wrapText="1"/>
    </x:xf>
    <x:xf numFmtId="0" fontId="7" fillId="4" borderId="2" xfId="0" applyNumberFormat="1" applyFont="1" applyFill="1" applyBorder="1" applyAlignment="1">
      <x:alignment wrapText="1"/>
    </x:xf>
    <x:xf numFmtId="0" fontId="7" fillId="4" borderId="3" xfId="0" applyNumberFormat="1" applyFont="1" applyFill="1" applyBorder="1" applyAlignment="1">
      <x:alignment wrapText="1"/>
    </x:xf>
    <x:xf numFmtId="0" fontId="7" fillId="4" borderId="4" xfId="0" applyNumberFormat="1" applyFont="1" applyFill="1" applyBorder="1" applyAlignment="1">
      <x:alignment wrapText="1"/>
    </x:xf>
    <x:xf numFmtId="0" fontId="6" fillId="0" borderId="4" xfId="0" applyNumberFormat="1" applyFont="1" applyFill="1" applyBorder="1"/>
    <x:xf numFmtId="0" fontId="6" fillId="0" borderId="1" xfId="0" applyNumberFormat="1" applyFont="1" applyFill="1" applyBorder="1"/>
    <x:xf numFmtId="204" fontId="6" fillId="0" borderId="0" xfId="0" applyNumberFormat="1" applyFont="1" applyFill="1" applyBorder="1"/>
    <x:xf numFmtId="0" fontId="0" fillId="5" borderId="0" xfId="0" applyNumberFormat="1" applyFont="1" applyFill="1" applyBorder="1"/>
    <x:xf numFmtId="0" fontId="8" fillId="5" borderId="0" xfId="0" applyNumberFormat="1" applyFont="1" applyFill="1" applyBorder="1"/>
    <x:xf numFmtId="0" fontId="8" fillId="5" borderId="5" xfId="0" applyNumberFormat="1" applyFont="1" applyFill="1" applyBorder="1"/>
    <x:xf numFmtId="0" fontId="9" fillId="0" borderId="0" xfId="0" applyNumberFormat="1" applyFont="1" applyFill="1" applyBorder="1"/>
    <x:xf numFmtId="202" fontId="0" fillId="0" borderId="0" xfId="0" applyNumberFormat="1" applyFont="1" applyFill="1" applyBorder="1"/>
    <x:xf numFmtId="202" fontId="8" fillId="5" borderId="5" xfId="0" applyNumberFormat="1" applyFont="1" applyFill="1" applyBorder="1"/>
    <x:xf numFmtId="0" fontId="10" fillId="0" borderId="0" xfId="0" applyNumberFormat="1" applyFont="1" applyFill="1" applyBorder="1"/>
    <x:xf numFmtId="0" fontId="7" fillId="4" borderId="6" xfId="0" applyNumberFormat="1" applyFont="1" applyFill="1" applyBorder="1" applyAlignment="1">
      <x:alignment wrapText="1"/>
    </x:xf>
    <x:xf numFmtId="0" fontId="7" fillId="4" borderId="7" xfId="0" applyNumberFormat="1" applyFont="1" applyFill="1" applyBorder="1" applyAlignment="1">
      <x:alignment wrapText="1"/>
    </x:xf>
    <x:xf numFmtId="0" fontId="7" fillId="4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/>
    <x:xf numFmtId="0" fontId="0" fillId="0" borderId="10" xfId="0" applyNumberFormat="1" applyFont="1" applyFill="1" applyBorder="1"/>
    <x:xf numFmtId="0" fontId="9" fillId="0" borderId="10" xfId="0" applyNumberFormat="1" applyFont="1" applyFill="1" applyBorder="1"/>
    <x:xf numFmtId="202" fontId="6" fillId="0" borderId="10" xfId="0" applyNumberFormat="1" applyFont="1" applyFill="1" applyBorder="1"/>
    <x:xf numFmtId="202" fontId="0" fillId="0" borderId="10" xfId="0" applyNumberFormat="1" applyFont="1" applyFill="1" applyBorder="1"/>
    <x:xf numFmtId="0" fontId="10" fillId="0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9" fillId="0" borderId="13" xfId="0" applyNumberFormat="1" applyFont="1" applyFill="1" applyBorder="1"/>
    <x:xf numFmtId="202" fontId="6" fillId="0" borderId="13" xfId="0" applyNumberFormat="1" applyFont="1" applyFill="1" applyBorder="1"/>
    <x:xf numFmtId="202" fontId="0" fillId="0" borderId="13" xfId="0" applyNumberFormat="1" applyFont="1" applyFill="1" applyBorder="1"/>
    <x:xf numFmtId="0" fontId="10" fillId="0" borderId="14" xfId="0" applyNumberFormat="1" applyFont="1" applyFill="1" applyBorder="1"/>
    <x:xf numFmtId="0" fontId="0" fillId="0" borderId="10" xfId="0" applyNumberFormat="1" applyFont="1" applyFill="1" applyBorder="1" applyAlignment="1">
      <x:alignment wrapText="1"/>
    </x:xf>
    <x:xf numFmtId="0" fontId="0" fillId="0" borderId="13" xfId="0" applyNumberFormat="1" applyFont="1" applyFill="1" applyBorder="1" applyAlignment="1">
      <x:alignment wrapText="1"/>
    </x:xf>
    <x:xf numFmtId="0" fontId="10" fillId="0" borderId="11" xfId="0" applyNumberFormat="1" applyFont="1" applyFill="1" applyBorder="1" applyAlignment="1">
      <x:alignment wrapText="1"/>
    </x:xf>
    <x:xf numFmtId="0" fontId="10" fillId="0" borderId="14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205" fontId="7" fillId="4" borderId="2" xfId="0" applyNumberFormat="1" applyFont="1" applyFill="1" applyBorder="1" applyAlignment="1">
      <x:alignment wrapText="1"/>
    </x:xf>
    <x:xf numFmtId="205" fontId="7" fillId="4" borderId="2" xfId="0" applyNumberFormat="1" applyFont="1" applyFill="1" applyBorder="1" applyAlignment="1">
      <x:alignment horizontal="right" wrapText="1"/>
    </x:xf>
    <x:xf numFmtId="201" fontId="0" fillId="0" borderId="0" xfId="0" applyNumberFormat="1" applyFont="1" applyFill="1" applyBorder="1"/>
    <x:xf numFmtId="202" fontId="0" fillId="5" borderId="0" xfId="0" applyNumberFormat="1" applyFont="1" applyFill="1" applyBorder="1"/>
    <x:xf numFmtId="202" fontId="8" fillId="5" borderId="0" xfId="0" applyNumberFormat="1" applyFont="1" applyFill="1" applyBorder="1"/>
    <x:xf numFmtId="0" fontId="0" fillId="0" borderId="15" xfId="0" applyNumberFormat="1" applyFont="1" applyFill="1" applyBorder="1"/>
    <x:xf numFmtId="202" fontId="0" fillId="0" borderId="15" xfId="0" applyNumberFormat="1" applyFont="1" applyFill="1" applyBorder="1"/>
    <x:xf numFmtId="202" fontId="4" fillId="2" borderId="0" xfId="0" applyNumberFormat="1" applyFont="1" applyFill="1" applyBorder="1"/>
    <x:xf numFmtId="204" fontId="0" fillId="0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11" fillId="6" borderId="0" xfId="0" applyNumberFormat="1" applyFont="1" applyFill="1" applyBorder="1"/>
    <x:xf numFmtId="0" fontId="0" fillId="7" borderId="0" xfId="0" applyNumberFormat="1" applyFont="1" applyFill="1" applyBorder="1"/>
    <x:xf numFmtId="0" fontId="12" fillId="7" borderId="0" xfId="0" applyNumberFormat="1" applyFont="1" applyFill="1" applyBorder="1"/>
    <x:xf numFmtId="0" fontId="0" fillId="8" borderId="0" xfId="0" applyNumberFormat="1" applyFont="1" applyFill="1" applyBorder="1"/>
    <x:xf numFmtId="0" fontId="13" fillId="8" borderId="0" xfId="0" applyNumberFormat="1" applyFont="1" applyFill="1" applyBorder="1"/>
    <x:xf numFmtId="202" fontId="13" fillId="8" borderId="0" xfId="0" applyNumberFormat="1" applyFont="1" applyFill="1" applyBorder="1"/>
    <x:xf numFmtId="202" fontId="13" fillId="8" borderId="0" xfId="0" applyNumberFormat="1" applyFont="1" applyFill="1" applyBorder="1" applyAlignment="1">
      <x:alignment vertical="center"/>
    </x:xf>
    <x:xf numFmtId="201" fontId="13" fillId="8" borderId="0" xfId="0" applyNumberFormat="1" applyFont="1" applyFill="1" applyBorder="1"/>
    <x:xf numFmtId="201" fontId="13" fillId="8" borderId="0" xfId="0" applyNumberFormat="1" applyFont="1" applyFill="1" applyBorder="1" applyAlignment="1">
      <x:alignment vertical="center"/>
    </x:xf>
    <x:xf numFmtId="204" fontId="13" fillId="8" borderId="0" xfId="0" applyNumberFormat="1" applyFont="1" applyFill="1" applyBorder="1"/>
    <x:xf numFmtId="204" fontId="13" fillId="8" borderId="0" xfId="0" applyNumberFormat="1" applyFont="1" applyFill="1" applyBorder="1" applyAlignment="1">
      <x:alignment vertical="center"/>
    </x:xf>
    <x:xf numFmtId="205" fontId="0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/>
    </x:xf>
    <x:xf numFmtId="0" fontId="7" fillId="4" borderId="6" xfId="0" applyNumberFormat="1" applyFont="1" applyFill="1" applyBorder="1" applyAlignment="1">
      <x:alignment vertical="center" wrapText="1"/>
    </x:xf>
    <x:xf numFmtId="0" fontId="7" fillId="4" borderId="7" xfId="0" applyNumberFormat="1" applyFont="1" applyFill="1" applyBorder="1" applyAlignment="1">
      <x:alignment vertical="center" wrapText="1"/>
    </x:xf>
    <x:xf numFmtId="0" fontId="7" fillId="4" borderId="8" xfId="0" applyNumberFormat="1" applyFont="1" applyFill="1" applyBorder="1" applyAlignment="1">
      <x:alignment vertical="center" wrapText="1"/>
    </x:xf>
    <x:xf numFmtId="0" fontId="0" fillId="0" borderId="9" xfId="0" applyNumberFormat="1" applyFont="1" applyFill="1" applyBorder="1" applyAlignment="1">
      <x:alignment vertical="center"/>
    </x:xf>
    <x:xf numFmtId="0" fontId="0" fillId="0" borderId="10" xfId="0" applyNumberFormat="1" applyFont="1" applyFill="1" applyBorder="1" applyAlignment="1">
      <x:alignment vertical="center"/>
    </x:xf>
    <x:xf numFmtId="0" fontId="0" fillId="0" borderId="10" xfId="0" applyNumberFormat="1" applyFont="1" applyFill="1" applyBorder="1" applyAlignment="1">
      <x:alignment vertical="center" wrapText="1"/>
    </x:xf>
    <x:xf numFmtId="0" fontId="9" fillId="0" borderId="10" xfId="0" applyNumberFormat="1" applyFont="1" applyFill="1" applyBorder="1" applyAlignment="1">
      <x:alignment vertical="center"/>
    </x:xf>
    <x:xf numFmtId="202" fontId="6" fillId="0" borderId="10" xfId="0" applyNumberFormat="1" applyFont="1" applyFill="1" applyBorder="1" applyAlignment="1">
      <x:alignment vertical="center"/>
    </x:xf>
    <x:xf numFmtId="202" fontId="0" fillId="0" borderId="10" xfId="0" applyNumberFormat="1" applyFont="1" applyFill="1" applyBorder="1" applyAlignment="1">
      <x:alignment vertical="center"/>
    </x:xf>
    <x:xf numFmtId="0" fontId="10" fillId="0" borderId="11" xfId="0" applyNumberFormat="1" applyFont="1" applyFill="1" applyBorder="1" applyAlignment="1">
      <x:alignment vertical="center" wrapText="1"/>
    </x:xf>
    <x:xf numFmtId="0" fontId="0" fillId="0" borderId="12" xfId="0" applyNumberFormat="1" applyFont="1" applyFill="1" applyBorder="1" applyAlignment="1">
      <x:alignment vertical="center"/>
    </x:xf>
    <x:xf numFmtId="0" fontId="0" fillId="0" borderId="13" xfId="0" applyNumberFormat="1" applyFont="1" applyFill="1" applyBorder="1" applyAlignment="1">
      <x:alignment vertical="center"/>
    </x:xf>
    <x:xf numFmtId="0" fontId="0" fillId="0" borderId="13" xfId="0" applyNumberFormat="1" applyFont="1" applyFill="1" applyBorder="1" applyAlignment="1">
      <x:alignment vertical="center" wrapText="1"/>
    </x:xf>
    <x:xf numFmtId="0" fontId="9" fillId="0" borderId="13" xfId="0" applyNumberFormat="1" applyFont="1" applyFill="1" applyBorder="1" applyAlignment="1">
      <x:alignment vertical="center"/>
    </x:xf>
    <x:xf numFmtId="202" fontId="6" fillId="0" borderId="13" xfId="0" applyNumberFormat="1" applyFont="1" applyFill="1" applyBorder="1" applyAlignment="1">
      <x:alignment vertical="center"/>
    </x:xf>
    <x:xf numFmtId="202" fontId="0" fillId="0" borderId="13" xfId="0" applyNumberFormat="1" applyFont="1" applyFill="1" applyBorder="1" applyAlignment="1">
      <x:alignment vertical="center"/>
    </x:xf>
    <x:xf numFmtId="0" fontId="10" fillId="0" borderId="14" xfId="0" applyNumberFormat="1" applyFont="1" applyFill="1" applyBorder="1" applyAlignment="1">
      <x:alignment vertical="center" wrapText="1"/>
    </x:xf>
    <x:xf numFmtId="202" fontId="0" fillId="0" borderId="0" xfId="0" applyNumberFormat="1" applyFont="1" applyFill="1" applyBorder="1" applyAlignment="1">
      <x:alignment vertical="center"/>
    </x:xf>
    <x:xf numFmtId="0" fontId="8" fillId="5" borderId="5" xfId="0" applyNumberFormat="1" applyFont="1" applyFill="1" applyBorder="1" applyAlignment="1">
      <x:alignment vertical="center"/>
    </x:xf>
    <x:xf numFmtId="202" fontId="8" fillId="5" borderId="5" xfId="0" applyNumberFormat="1" applyFont="1" applyFill="1" applyBorder="1" applyAlignment="1">
      <x:alignment vertical="center"/>
    </x:xf>
    <x:xf numFmtId="0" fontId="7" fillId="4" borderId="1" xfId="0" applyNumberFormat="1" applyFont="1" applyFill="1" applyBorder="1" applyAlignment="1">
      <x:alignment vertical="center" wrapText="1"/>
    </x:xf>
    <x:xf numFmtId="0" fontId="7" fillId="4" borderId="2" xfId="0" applyNumberFormat="1" applyFont="1" applyFill="1" applyBorder="1" applyAlignment="1">
      <x:alignment vertical="center" wrapText="1"/>
    </x:xf>
    <x:xf numFmtId="0" fontId="7" fillId="4" borderId="3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205" fontId="7" fillId="4" borderId="2" xfId="0" applyNumberFormat="1" applyFont="1" applyFill="1" applyBorder="1" applyAlignment="1">
      <x:alignment horizontal="right" vertical="center" wrapText="1"/>
    </x:xf>
    <x:xf numFmtId="0" fontId="4" fillId="2" borderId="0" xfId="0" applyNumberFormat="1" applyFont="1" applyFill="1" applyBorder="1" applyAlignment="1">
      <x:alignment vertical="center"/>
    </x:xf>
    <x:xf numFmtId="202" fontId="4" fillId="2" borderId="0" xfId="0" applyNumberFormat="1" applyFont="1" applyFill="1" applyBorder="1" applyAlignment="1">
      <x:alignment vertical="center"/>
    </x:xf>
    <x:xf numFmtId="0" fontId="0" fillId="0" borderId="15" xfId="0" applyNumberFormat="1" applyFont="1" applyFill="1" applyBorder="1" applyAlignment="1">
      <x:alignment vertical="center"/>
    </x:xf>
    <x:xf numFmtId="202" fontId="0" fillId="0" borderId="15" xfId="0" applyNumberFormat="1" applyFont="1" applyFill="1" applyBorder="1" applyAlignment="1">
      <x:alignment vertical="center"/>
    </x:xf>
    <x:xf numFmtId="201" fontId="0" fillId="0" borderId="0" xfId="0" applyNumberFormat="1" applyFont="1" applyFill="1" applyBorder="1" applyAlignment="1">
      <x:alignment vertical="center"/>
    </x:xf>
    <x:xf numFmtId="204" fontId="0" fillId="0" borderId="0" xfId="0" applyNumberFormat="1" applyFont="1" applyFill="1" applyBorder="1" applyAlignment="1">
      <x:alignment vertical="center"/>
    </x:xf>
    <x:xf numFmtId="204" fontId="6" fillId="0" borderId="0" xfId="0" applyNumberFormat="1" applyFont="1" applyFill="1" applyBorder="1" applyAlignment="1">
      <x:alignment vertical="center"/>
    </x:xf>
    <x:xf numFmtId="0" fontId="11" fillId="6" borderId="0" xfId="0" applyNumberFormat="1" applyFont="1" applyFill="1" applyBorder="1" applyAlignment="1">
      <x:alignment vertical="center"/>
    </x:xf>
    <x:xf numFmtId="0" fontId="12" fillId="7" borderId="0" xfId="0" applyNumberFormat="1" applyFont="1" applyFill="1" applyBorder="1" applyAlignment="1">
      <x:alignment vertical="center"/>
    </x:xf>
    <x:xf numFmtId="205" fontId="0" fillId="0" borderId="0" xfId="0" applyNumberFormat="1" applyFont="1" applyFill="1" applyBorder="1" applyAlignment="1">
      <x:alignment vertical="center"/>
    </x:xf>
    <x:xf numFmtId="0" fontId="6" fillId="9" borderId="0" xfId="0" applyNumberFormat="1" applyFont="1" applyFill="1" applyBorder="1"/>
    <x:xf numFmtId="200" fontId="6" fillId="9" borderId="0" xfId="0" applyNumberFormat="1" applyFont="1" applyFill="1" applyBorder="1"/>
    <x:xf numFmtId="201" fontId="6" fillId="9" borderId="0" xfId="0" applyNumberFormat="1" applyFont="1" applyFill="1" applyBorder="1"/>
    <x:xf numFmtId="203" fontId="6" fillId="9" borderId="0" xfId="0" applyNumberFormat="1" applyFont="1" applyFill="1" applyBorder="1"/>
    <x:xf numFmtId="202" fontId="6" fillId="9" borderId="0" xfId="0" applyNumberFormat="1" applyFont="1" applyFill="1" applyBorder="1"/>
    <x:xf numFmtId="202" fontId="6" fillId="9" borderId="10" xfId="0" applyNumberFormat="1" applyFont="1" applyFill="1" applyBorder="1" applyAlignment="1">
      <x:alignment vertical="center"/>
    </x:xf>
    <x:xf numFmtId="202" fontId="6" fillId="9" borderId="13" xfId="0" applyNumberFormat="1" applyFont="1" applyFill="1" applyBorder="1" applyAlignment="1">
      <x:alignment vertical="center"/>
    </x:xf>
    <x:xf numFmtId="206" fontId="6" fillId="9" borderId="0" xfId="0" applyNumberFormat="1" applyFont="1" applyFill="1" applyBorder="1"/>
    <x:xf numFmtId="207" fontId="6" fillId="9" borderId="0" xfId="0" applyNumberFormat="1" applyFont="1" applyFill="1" applyBorder="1"/>
    <x:xf numFmtId="0" fontId="0" borderId="0" xfId="0" applyNumberFormat="1" applyFont="1" applyFill="0" applyBorder="1"/>
    <x:xf numFmtId="0" fontId="14" borderId="0" xfId="0" applyNumberFormat="1" applyFont="1" applyFill="0" applyBorder="1"/>
    <x:xf numFmtId="0" fontId="15" borderId="0" xfId="0" applyNumberFormat="1" applyFont="1" applyFill="0" applyBorder="1"/>
    <x:xf numFmtId="0" fontId="15" borderId="0" xfId="0" applyNumberFormat="1" applyFont="1" applyFill="0" applyBorder="1" applyAlignment="1">
      <x:alignment wrapText="1"/>
    </x:xf>
    <x:xf numFmtId="206" fontId="0" fillId="0" borderId="0" xfId="0" applyNumberFormat="1" applyFont="1" applyFill="1" applyBorder="1"/>
    <x:xf numFmtId="206" fontId="15" borderId="0" xfId="0" applyNumberFormat="1" applyFont="1" applyFill="0" applyBorder="1" applyAlignment="1">
      <x:alignment wrapText="1"/>
    </x:xf>
    <x:xf numFmtId="207" fontId="0" fillId="0" borderId="0" xfId="0" applyNumberFormat="1" applyFont="1" applyFill="1" applyBorder="1"/>
    <x:xf numFmtId="0" fontId="15" borderId="16" xfId="0" applyNumberFormat="1" applyFont="1" applyFill="0" applyBorder="1" applyAlignment="1">
      <x:alignment wrapText="1"/>
    </x:xf>
    <x:xf numFmtId="0" fontId="15" borderId="17" xfId="0" applyNumberFormat="1" applyFont="1" applyFill="0" applyBorder="1" applyAlignment="1">
      <x:alignment wrapText="1"/>
    </x:xf>
    <x:xf numFmtId="0" fontId="15" borderId="18" xfId="0" applyNumberFormat="1" applyFont="1" applyFill="0" applyBorder="1" applyAlignment="1">
      <x:alignment wrapText="1"/>
    </x:xf>
    <x:xf numFmtId="0" fontId="0" fillId="0" borderId="19" xfId="0" applyNumberFormat="1" applyFont="1" applyFill="1" applyBorder="1"/>
    <x:xf numFmtId="206" fontId="0" fillId="0" borderId="20" xfId="0" applyNumberFormat="1" applyFont="1" applyFill="1" applyBorder="1"/>
    <x:xf numFmtId="0" fontId="0" fillId="0" borderId="20" xfId="0" applyNumberFormat="1" applyFont="1" applyFill="1" applyBorder="1"/>
    <x:xf numFmtId="207" fontId="0" fillId="0" borderId="21" xfId="0" applyNumberFormat="1" applyFont="1" applyFill="1" applyBorder="1"/>
    <x:xf numFmtId="0" fontId="0" fillId="0" borderId="21" xfId="0" applyNumberFormat="1" applyFont="1" applyFill="1" applyBorder="1"/>
    <x:xf numFmtId="0" fontId="15" borderId="19" xfId="0" applyNumberFormat="1" applyFont="1" applyFill="0" applyBorder="1" applyAlignment="1">
      <x:alignment wrapText="1"/>
    </x:xf>
    <x:xf numFmtId="206" fontId="15" borderId="20" xfId="0" applyNumberFormat="1" applyFont="1" applyFill="0" applyBorder="1" applyAlignment="1">
      <x:alignment wrapText="1"/>
    </x:xf>
    <x:xf numFmtId="0" fontId="15" borderId="20" xfId="0" applyNumberFormat="1" applyFont="1" applyFill="0" applyBorder="1" applyAlignment="1">
      <x:alignment wrapText="1"/>
    </x:xf>
    <x:xf numFmtId="207" fontId="0" fillId="0" borderId="20" xfId="0" applyNumberFormat="1" applyFont="1" applyFill="1" applyBorder="1"/>
    <x:xf numFmtId="0" fontId="0" fillId="0" borderId="22" xfId="0" applyNumberFormat="1" applyFont="1" applyFill="1" applyBorder="1"/>
    <x:xf numFmtId="206" fontId="0" fillId="0" borderId="23" xfId="0" applyNumberFormat="1" applyFont="1" applyFill="1" applyBorder="1"/>
    <x:xf numFmtId="207" fontId="0" fillId="0" borderId="23" xfId="0" applyNumberFormat="1" applyFont="1" applyFill="1" applyBorder="1"/>
    <x:xf numFmtId="0" fontId="0" fillId="0" borderId="23" xfId="0" applyNumberFormat="1" applyFont="1" applyFill="1" applyBorder="1"/>
    <x:xf numFmtId="0" fontId="0" fillId="0" borderId="24" xfId="0" applyNumberFormat="1" applyFont="1" applyFill="1" applyBorder="1"/>
    <x:xf numFmtId="0" fontId="0" fillId="0" borderId="19" xfId="0" applyNumberFormat="1" applyFont="1" applyFill="1" applyBorder="1" applyAlignment="1">
      <x:alignment wrapText="1"/>
    </x:xf>
    <x:xf numFmtId="206" fontId="0" fillId="0" borderId="20" xfId="0" applyNumberFormat="1" applyFont="1" applyFill="1" applyBorder="1" applyAlignment="1">
      <x:alignment wrapText="1"/>
    </x:xf>
    <x:xf numFmtId="0" fontId="0" fillId="0" borderId="20" xfId="0" applyNumberFormat="1" applyFont="1" applyFill="1" applyBorder="1" applyAlignment="1">
      <x:alignment wrapText="1"/>
    </x:xf>
    <x:xf numFmtId="207" fontId="0" fillId="0" borderId="21" xfId="0" applyNumberFormat="1" applyFont="1" applyFill="1" applyBorder="1" applyAlignment="1">
      <x:alignment wrapText="1"/>
    </x:xf>
    <x:xf numFmtId="0" fontId="0" fillId="0" borderId="21" xfId="0" applyNumberFormat="1" applyFont="1" applyFill="1" applyBorder="1" applyAlignment="1">
      <x:alignment wrapText="1"/>
    </x:xf>
    <x:xf numFmtId="207" fontId="0" fillId="0" borderId="20" xfId="0" applyNumberFormat="1" applyFont="1" applyFill="1" applyBorder="1" applyAlignment="1">
      <x:alignment wrapText="1"/>
    </x:xf>
    <x:xf numFmtId="0" fontId="0" fillId="0" borderId="22" xfId="0" applyNumberFormat="1" applyFont="1" applyFill="1" applyBorder="1" applyAlignment="1">
      <x:alignment wrapText="1"/>
    </x:xf>
    <x:xf numFmtId="206" fontId="0" fillId="0" borderId="23" xfId="0" applyNumberFormat="1" applyFont="1" applyFill="1" applyBorder="1" applyAlignment="1">
      <x:alignment wrapText="1"/>
    </x:xf>
    <x:xf numFmtId="207" fontId="0" fillId="0" borderId="23" xfId="0" applyNumberFormat="1" applyFont="1" applyFill="1" applyBorder="1" applyAlignment="1">
      <x:alignment wrapText="1"/>
    </x:xf>
    <x:xf numFmtId="0" fontId="0" fillId="0" borderId="23" xfId="0" applyNumberFormat="1" applyFont="1" applyFill="1" applyBorder="1" applyAlignment="1">
      <x:alignment wrapText="1"/>
    </x:xf>
    <x:xf numFmtId="0" fontId="0" fillId="0" borderId="24" xfId="0" applyNumberFormat="1" applyFont="1" applyFill="1" applyBorder="1" applyAlignment="1">
      <x:alignment wrapText="1"/>
    </x:xf>
    <x:xf numFmtId="208" fontId="0" fillId="0" borderId="0" xfId="0" applyNumberFormat="1" applyFont="1" applyFill="1" applyBorder="1"/>
    <x:xf numFmtId="204" fontId="0" fillId="0" borderId="20" xfId="0" applyNumberFormat="1" applyFont="1" applyFill="1" applyBorder="1"/>
    <x:xf numFmtId="208" fontId="0" fillId="0" borderId="21" xfId="0" applyNumberFormat="1" applyFont="1" applyFill="1" applyBorder="1"/>
    <x:xf numFmtId="204" fontId="0" fillId="0" borderId="23" xfId="0" applyNumberFormat="1" applyFont="1" applyFill="1" applyBorder="1"/>
    <x:xf numFmtId="208" fontId="0" fillId="0" borderId="24" xfId="0" applyNumberFormat="1" applyFont="1" applyFill="1" applyBorder="1"/>
    <x:xf numFmtId="204" fontId="0" fillId="0" borderId="20" xfId="0" applyNumberFormat="1" applyFont="1" applyFill="1" applyBorder="1" applyAlignment="1">
      <x:alignment wrapText="1"/>
    </x:xf>
    <x:xf numFmtId="208" fontId="0" fillId="0" borderId="21" xfId="0" applyNumberFormat="1" applyFont="1" applyFill="1" applyBorder="1" applyAlignment="1">
      <x:alignment wrapText="1"/>
    </x:xf>
    <x:xf numFmtId="204" fontId="0" fillId="0" borderId="23" xfId="0" applyNumberFormat="1" applyFont="1" applyFill="1" applyBorder="1" applyAlignment="1">
      <x:alignment wrapText="1"/>
    </x:xf>
    <x:xf numFmtId="208" fontId="0" fillId="0" borderId="24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7399601f64238" /><Relationship Type="http://schemas.openxmlformats.org/officeDocument/2006/relationships/theme" Target="/xl/theme/theme1.xml" Id="Rd0849e6dd961410d" /><Relationship Type="http://schemas.openxmlformats.org/officeDocument/2006/relationships/sharedStrings" Target="/xl/sharedStrings.xml" Id="Rfbeb83f321da42b6" /><Relationship Type="http://schemas.openxmlformats.org/officeDocument/2006/relationships/worksheet" Target="/xl/worksheets/sheet1.xml" Id="Reca97bc86b814a25" /><Relationship Type="http://schemas.openxmlformats.org/officeDocument/2006/relationships/worksheet" Target="/xl/worksheets/sheet2.xml" Id="Rb55e7fa7a4d5459b" /><Relationship Type="http://schemas.openxmlformats.org/officeDocument/2006/relationships/worksheet" Target="/xl/worksheets/sheet3.xml" Id="Rd4144b5bef8b447a" /><Relationship Type="http://schemas.openxmlformats.org/officeDocument/2006/relationships/worksheet" Target="/xl/worksheets/sheet4.xml" Id="Rcff42b777d9b4be4" /><Relationship Type="http://schemas.openxmlformats.org/officeDocument/2006/relationships/worksheet" Target="/xl/worksheets/sheet5.xml" Id="R245e539f6f7741f5" /><Relationship Type="http://schemas.openxmlformats.org/officeDocument/2006/relationships/worksheet" Target="/xl/worksheets/sheet6.xml" Id="Rf78f5ab6a47d451d" /><Relationship Type="http://schemas.openxmlformats.org/officeDocument/2006/relationships/worksheet" Target="/xl/worksheets/sheet7.xml" Id="R4af7d40ae88442bf" /><Relationship Type="http://schemas.openxmlformats.org/officeDocument/2006/relationships/worksheet" Target="/xl/worksheets/sheet8.xml" Id="R841f65ab2fbf4cc2" /><Relationship Type="http://schemas.openxmlformats.org/officeDocument/2006/relationships/worksheet" Target="/xl/worksheets/sheet9.xml" Id="R9e2b70b6a4464a71" /><Relationship Type="http://schemas.openxmlformats.org/officeDocument/2006/relationships/worksheet" Target="/xl/worksheets/sheet10.xml" Id="Rcbe2ba7a08534036" /><Relationship Type="http://schemas.openxmlformats.org/officeDocument/2006/relationships/worksheet" Target="/xl/worksheets/sheet11.xml" Id="R93be854329b84755" /><Relationship Type="http://schemas.openxmlformats.org/officeDocument/2006/relationships/worksheet" Target="/xl/worksheets/sheet12.xml" Id="R3b8819cca706405a" /><Relationship Type="http://schemas.openxmlformats.org/officeDocument/2006/relationships/worksheet" Target="/xl/worksheets/sheet13.xml" Id="R224f7e2cb1674a36" /><Relationship Type="http://schemas.openxmlformats.org/officeDocument/2006/relationships/worksheet" Target="/xl/worksheets/sheet14.xml" Id="R66787d31cbf445cc" /><Relationship Type="http://schemas.microsoft.com/office/2017/10/relationships/person" Target="/xl/persons/person.xml" Id="Ra82bddb5197c459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bc689010d111483d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Year 1: Revenue, OPEX and EBITDA (₽)</a:t>
            </a:r>
          </a:p>
        </c:rich>
      </c:tx>
      <c:overlay val="0"/>
    </c:title>
    <c:autoTitleDeleted val="0"/>
    <c:plotArea>
      <c:lineChart>
        <c:grouping val="standard"/>
        <c:varyColors val="0"/>
        <c:ser>
          <c:idx val="0"/>
          <c:order val="0"/>
          <c:tx>
            <c:v>Revenue</c:v>
          </c:tx>
          <c:marker>
            <c:symbol val="none"/>
          </c:marker>
          <c:dLbls/>
          <c:cat>
            <c:strRef>
              <c:f>'Dashboard'!$A$17:$A$28</c:f>
              <c:strCache>
                <c:ptCount val="0"/>
              </c:strCache>
            </c:strRef>
          </c:cat>
          <c:val>
            <c:numRef>
              <c:f>'Dashboard'!$B$17:$B$28</c:f>
              <c:numCache>
                <c:formatCode>#,##0;[Red](#,##0);-</c:formatCode>
                <c:ptCount val="0"/>
              </c:numCache>
            </c:numRef>
          </c:val>
          <c:smooth val="0"/>
        </c:ser>
        <c:ser>
          <c:idx val="1"/>
          <c:order val="1"/>
          <c:tx>
            <c:v>OPEX</c:v>
          </c:tx>
          <c:marker>
            <c:symbol val="none"/>
          </c:marker>
          <c:dLbls/>
          <c:cat>
            <c:strRef>
              <c:f>'Dashboard'!$A$17:$A$28</c:f>
              <c:strCache>
                <c:ptCount val="0"/>
              </c:strCache>
            </c:strRef>
          </c:cat>
          <c:val>
            <c:numRef>
              <c:f>'Dashboard'!$C$17:$C$28</c:f>
              <c:numCache>
                <c:formatCode>#,##0;[Red](#,##0);-</c:formatCode>
                <c:ptCount val="0"/>
              </c:numCache>
            </c:numRef>
          </c:val>
          <c:smooth val="0"/>
        </c:ser>
        <c:ser>
          <c:idx val="2"/>
          <c:order val="2"/>
          <c:tx>
            <c:v>EBITDA</c:v>
          </c:tx>
          <c:marker>
            <c:symbol val="none"/>
          </c:marker>
          <c:dLbls/>
          <c:cat>
            <c:strRef>
              <c:f>'Dashboard'!$A$17:$A$28</c:f>
              <c:strCache>
                <c:ptCount val="0"/>
              </c:strCache>
            </c:strRef>
          </c:cat>
          <c:val>
            <c:numRef>
              <c:f>'Dashboard'!$D$17:$D$28</c:f>
              <c:numCache>
                <c:formatCode>#,##0;[Red](#,##0);-</c:formatCode>
                <c:ptCount val="0"/>
              </c:numCache>
            </c:numRef>
          </c:val>
          <c:smooth val="0"/>
        </c:ser>
        <c:dLbls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15</xdr:row>
      <xdr:rowOff>0</xdr:rowOff>
    </xdr:from>
    <xdr:to>
      <xdr:col>14</xdr:col>
      <xdr:colOff>0</xdr:colOff>
      <xdr:row>31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c689010d111483d"/>
        </a:graphicData>
      </a:graphic>
    </xdr:graphicFrame>
    <xdr:clientData/>
  </xdr:twoCellAnchor>
</xdr:wsDr>
</file>

<file path=xl/persons/person.xml><?xml version="1.0" encoding="utf-8"?>
<xltc:personList xmlns:xltc="http://schemas.microsoft.com/office/spreadsheetml/2018/threadedcomments">
  <xltc:person displayName="Иван Солодовников" id="{4D4CB724-5BA6-4853-88D3-632F7538A6CC}"/>
</xltc:personList>
</file>

<file path=xl/tables/table1.xml><?xml version="1.0" encoding="utf-8"?>
<x:table xmlns:x="http://schemas.openxmlformats.org/spreadsheetml/2006/main" id="1" name="BuildCAPEXTable" displayName="BuildCAPEXTable" ref="A4:K40" headerRowCount="1" totalsRowCount="0" totalsRowShown="0">
  <x:autoFilter ref="A4:K40"/>
  <x:tableColumns count="11">
    <x:tableColumn id="1" name="Код"/>
    <x:tableColumn id="2" name="Раздел"/>
    <x:tableColumn id="3" name="Статья"/>
    <x:tableColumn id="4" name="Драйвер"/>
    <x:tableColumn id="5" name="Кол-во"/>
    <x:tableColumn id="6" name="Ед."/>
    <x:tableColumn id="7" name="Цена за ед."/>
    <x:tableColumn id="8" name="Сумма"/>
    <x:tableColumn id="9" name="Статус"/>
    <x:tableColumn id="10" name="Старт, мес."/>
    <x:tableColumn id="11" name="Источник"/>
  </x:tableColumns>
  <x:tableStyleInfo name="TableStyleMedium4" showFirstColumn="0" showLastColumn="0" showRowStripes="1" showColumnStripes="0"/>
</x:table>
</file>

<file path=xl/tables/table2.xml><?xml version="1.0" encoding="utf-8"?>
<x:table xmlns:x="http://schemas.openxmlformats.org/spreadsheetml/2006/main" id="2" name="SourcesTable" displayName="SourcesTable" ref="A4:I13" headerRowCount="1" totalsRowCount="0" totalsRowShown="0">
  <x:autoFilter ref="A4:I13"/>
  <x:tableColumns count="9">
    <x:tableColumn id="1" name="ID"/>
    <x:tableColumn id="2" name="Item"/>
    <x:tableColumn id="3" name="Value"/>
    <x:tableColumn id="4" name="Units"/>
    <x:tableColumn id="5" name="As of"/>
    <x:tableColumn id="6" name="Status"/>
    <x:tableColumn id="7" name="Source"/>
    <x:tableColumn id="8" name="URL / ref"/>
    <x:tableColumn id="9" name="Notes"/>
  </x:tableColumns>
  <x:tableStyleInfo name="TableStyleMedium4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c53f129514a40c8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1c158a981a9647ce" /></Relationships>
</file>

<file path=xl/worksheets/_rels/sheet11.xml.rels>&#65279;<?xml version="1.0" encoding="utf-8"?><Relationships xmlns="http://schemas.openxmlformats.org/package/2006/relationships"><Relationship Type="http://schemas.openxmlformats.org/officeDocument/2006/relationships/table" Target="/xl/tables/table2.xml" Id="R22bb1176dd3f4e3f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6" hidden="0" customWidth="1"/>
    <x:col min="3" max="3" width="16" hidden="0" customWidth="1"/>
    <x:col min="4" max="4" width="16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  <x:col min="14" max="14" width="12" hidden="0" customWidth="1"/>
  </x:cols>
  <x:sheetData>
    <x:row r="1" ht="32" customHeight="1">
      <x:c r="A1" s="4" t="str">
        <x:v>Парк Отель Сказка — Investment Model v0.3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78"/>
      <x:c r="P1" s="78"/>
      <x:c r="Q1" s="78"/>
      <x:c r="R1" s="78"/>
      <x:c r="S1" s="78"/>
      <x:c r="T1" s="78"/>
      <x:c r="U1" s="78"/>
      <x:c r="V1" s="78"/>
      <x:c r="W1" s="78"/>
      <x:c r="X1" s="78"/>
      <x:c r="Y1" s="78"/>
      <x:c r="Z1" s="78"/>
      <x:c r="AA1" s="78"/>
      <x:c r="AB1" s="78"/>
      <x:c r="AC1" s="78"/>
      <x:c r="AD1" s="78"/>
      <x:c r="AE1" s="78"/>
      <x:c r="AF1" s="78"/>
      <x:c r="AG1" s="78"/>
      <x:c r="AH1" s="78"/>
      <x:c r="AI1" s="78"/>
      <x:c r="AJ1" s="78"/>
      <x:c r="AK1" s="78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Exact tariff catalogue + Procurement v0.2 + Build CAPEX + 36M P&amp;L + cash flow. DRAFT / ASSUMPTION-LED.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79"/>
      <x:c r="M2" s="79"/>
      <x:c r="N2" s="79"/>
      <x:c r="O2" s="80"/>
      <x:c r="P2" s="80"/>
      <x:c r="Q2" s="80"/>
      <x:c r="R2" s="80"/>
      <x:c r="S2" s="80"/>
      <x:c r="T2" s="80"/>
      <x:c r="U2" s="80"/>
      <x:c r="V2" s="80"/>
      <x:c r="W2" s="80"/>
      <x:c r="X2" s="80"/>
      <x:c r="Y2" s="80"/>
      <x:c r="Z2" s="80"/>
      <x:c r="AA2" s="80"/>
      <x:c r="AB2" s="80"/>
      <x:c r="AC2" s="80"/>
      <x:c r="AD2" s="80"/>
      <x:c r="AE2" s="80"/>
      <x:c r="AF2" s="80"/>
      <x:c r="AG2" s="80"/>
      <x:c r="AH2" s="80"/>
      <x:c r="AI2" s="80"/>
      <x:c r="AJ2" s="80"/>
      <x:c r="AK2" s="80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 ht="24" customHeight="1">
      <x:c r="A4" s="113" t="str">
        <x:v>MODEL STATUS: formulas/checks must pass; economics remain unvalidated until G1/G3.</x:v>
      </x:c>
      <x:c r="B4" s="113"/>
      <x:c r="C4" s="113"/>
      <x:c r="D4" s="113"/>
      <x:c r="E4" s="113"/>
      <x:c r="F4" s="113"/>
      <x:c r="G4" s="113"/>
      <x:c r="H4" s="113"/>
      <x:c r="I4" s="113"/>
      <x:c r="J4" s="113"/>
      <x:c r="K4" s="113"/>
      <x:c r="L4" s="113"/>
      <x:c r="M4" s="113"/>
      <x:c r="N4" s="113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>
      <x:c r="A5" s="80"/>
      <x:c r="B5" s="80"/>
      <x:c r="C5" s="80"/>
      <x:c r="D5" s="80"/>
      <x:c r="E5" s="80"/>
      <x:c r="F5" s="80"/>
      <x:c r="G5" s="80"/>
      <x:c r="H5" s="80"/>
      <x:c r="I5" s="80"/>
      <x:c r="J5" s="80"/>
      <x:c r="K5" s="80"/>
      <x:c r="L5" s="80"/>
      <x:c r="M5" s="80"/>
      <x:c r="N5" s="80"/>
      <x:c r="O5" s="80"/>
      <x:c r="P5" s="80"/>
      <x:c r="Q5" s="80"/>
      <x:c r="R5" s="80"/>
      <x:c r="S5" s="80"/>
      <x:c r="T5" s="80"/>
      <x:c r="U5" s="80"/>
      <x:c r="V5" s="80"/>
      <x:c r="W5" s="80"/>
      <x:c r="X5" s="80"/>
      <x:c r="Y5" s="80"/>
      <x:c r="Z5" s="80"/>
      <x:c r="AA5" s="80"/>
      <x:c r="AB5" s="80"/>
      <x:c r="AC5" s="80"/>
      <x:c r="AD5" s="80"/>
      <x:c r="AE5" s="80"/>
      <x:c r="AF5" s="80"/>
      <x:c r="AG5" s="80"/>
      <x:c r="AH5" s="80"/>
      <x:c r="AI5" s="80"/>
      <x:c r="AJ5" s="80"/>
      <x:c r="AK5" s="80"/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0"/>
      <x:c r="B6" s="80"/>
      <x:c r="C6" s="80"/>
      <x:c r="D6" s="80"/>
      <x:c r="E6" s="80"/>
      <x:c r="F6" s="80"/>
      <x:c r="G6" s="80"/>
      <x:c r="H6" s="80"/>
      <x:c r="I6" s="80"/>
      <x:c r="J6" s="80"/>
      <x:c r="K6" s="80"/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114" t="str">
        <x:v>Total Build CAPEX</x:v>
      </x:c>
      <x:c r="B7" s="114"/>
      <x:c r="C7" s="80"/>
      <x:c r="D7" s="114" t="str">
        <x:v>CAPEX / key</x:v>
      </x:c>
      <x:c r="E7" s="114"/>
      <x:c r="F7" s="80"/>
      <x:c r="G7" s="114" t="str">
        <x:v>Year 1 Revenue</x:v>
      </x:c>
      <x:c r="H7" s="114"/>
      <x:c r="I7" s="80"/>
      <x:c r="J7" s="114" t="str">
        <x:v>Year 1 OPEX</x:v>
      </x:c>
      <x:c r="K7" s="114"/>
      <x:c r="L7" s="80"/>
      <x:c r="M7" s="80"/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72" t="n">
        <x:f>'Audit_v03'!C9</x:f>
        <x:v>178542338.58417597</x:v>
      </x:c>
      <x:c r="B8" s="72"/>
      <x:c r="C8" s="80"/>
      <x:c r="D8" s="72" t="n">
        <x:f>'Audit_v03'!C9/9</x:f>
        <x:v>19838037.620463997</x:v>
      </x:c>
      <x:c r="E8" s="72"/>
      <x:c r="F8" s="80"/>
      <x:c r="G8" s="72" t="n">
        <x:f>'Audit_v03'!F9</x:f>
        <x:v>40738248.56542508</x:v>
      </x:c>
      <x:c r="H8" s="72"/>
      <x:c r="I8" s="80"/>
      <x:c r="J8" s="72" t="n">
        <x:f>'Audit_v03'!G9</x:f>
        <x:v>33148614.42512573</x:v>
      </x:c>
      <x:c r="K8" s="72"/>
      <x:c r="L8" s="80"/>
      <x:c r="M8" s="80"/>
      <x:c r="N8" s="80"/>
      <x:c r="O8" s="80"/>
      <x:c r="P8" s="80"/>
      <x:c r="Q8" s="80"/>
      <x:c r="R8" s="80"/>
      <x:c r="S8" s="80"/>
      <x:c r="T8" s="80"/>
      <x:c r="U8" s="80"/>
      <x:c r="V8" s="80"/>
      <x:c r="W8" s="80"/>
      <x:c r="X8" s="80"/>
      <x:c r="Y8" s="80"/>
      <x:c r="Z8" s="80"/>
      <x:c r="AA8" s="80"/>
      <x:c r="AB8" s="80"/>
      <x:c r="AC8" s="80"/>
      <x:c r="AD8" s="80"/>
      <x:c r="AE8" s="80"/>
      <x:c r="AF8" s="80"/>
      <x:c r="AG8" s="80"/>
      <x:c r="AH8" s="80"/>
      <x:c r="AI8" s="80"/>
      <x:c r="AJ8" s="80"/>
      <x:c r="AK8" s="80"/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72"/>
      <x:c r="B9" s="72"/>
      <x:c r="C9" s="80"/>
      <x:c r="D9" s="72"/>
      <x:c r="E9" s="72"/>
      <x:c r="F9" s="80"/>
      <x:c r="G9" s="72"/>
      <x:c r="H9" s="72"/>
      <x:c r="I9" s="80"/>
      <x:c r="J9" s="72"/>
      <x:c r="K9" s="72"/>
      <x:c r="L9" s="80"/>
      <x:c r="M9" s="80"/>
      <x:c r="N9" s="80"/>
      <x:c r="O9" s="80"/>
      <x:c r="P9" s="80"/>
      <x:c r="Q9" s="80"/>
      <x:c r="R9" s="80"/>
      <x:c r="S9" s="80"/>
      <x:c r="T9" s="80"/>
      <x:c r="U9" s="80"/>
      <x:c r="V9" s="80"/>
      <x:c r="W9" s="80"/>
      <x:c r="X9" s="80"/>
      <x:c r="Y9" s="80"/>
      <x:c r="Z9" s="80"/>
      <x:c r="AA9" s="80"/>
      <x:c r="AB9" s="80"/>
      <x:c r="AC9" s="80"/>
      <x:c r="AD9" s="80"/>
      <x:c r="AE9" s="80"/>
      <x:c r="AF9" s="80"/>
      <x:c r="AG9" s="80"/>
      <x:c r="AH9" s="80"/>
      <x:c r="AI9" s="80"/>
      <x:c r="AJ9" s="80"/>
      <x:c r="AK9" s="80"/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80"/>
      <x:c r="B10" s="80"/>
      <x:c r="C10" s="80"/>
      <x:c r="D10" s="80"/>
      <x:c r="E10" s="80"/>
      <x:c r="F10" s="80"/>
      <x:c r="G10" s="80"/>
      <x:c r="H10" s="80"/>
      <x:c r="I10" s="80"/>
      <x:c r="J10" s="80"/>
      <x:c r="K10" s="80"/>
      <x:c r="L10" s="80"/>
      <x:c r="M10" s="80"/>
      <x:c r="N10" s="80"/>
      <x:c r="O10" s="80"/>
      <x:c r="P10" s="80"/>
      <x:c r="Q10" s="80"/>
      <x:c r="R10" s="80"/>
      <x:c r="S10" s="80"/>
      <x:c r="T10" s="80"/>
      <x:c r="U10" s="80"/>
      <x:c r="V10" s="80"/>
      <x:c r="W10" s="80"/>
      <x:c r="X10" s="80"/>
      <x:c r="Y10" s="80"/>
      <x:c r="Z10" s="80"/>
      <x:c r="AA10" s="80"/>
      <x:c r="AB10" s="80"/>
      <x:c r="AC10" s="80"/>
      <x:c r="AD10" s="80"/>
      <x:c r="AE10" s="80"/>
      <x:c r="AF10" s="80"/>
      <x:c r="AG10" s="80"/>
      <x:c r="AH10" s="80"/>
      <x:c r="AI10" s="80"/>
      <x:c r="AJ10" s="80"/>
      <x:c r="AK10" s="80"/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114" t="str">
        <x:v>Year 1 EBITDA</x:v>
      </x:c>
      <x:c r="B11" s="114"/>
      <x:c r="C11" s="80"/>
      <x:c r="D11" s="114" t="str">
        <x:v>Year 1 EBITDA margin</x:v>
      </x:c>
      <x:c r="E11" s="114"/>
      <x:c r="F11" s="80"/>
      <x:c r="G11" s="114" t="str">
        <x:v>10Y IRR proxy</x:v>
      </x:c>
      <x:c r="H11" s="114"/>
      <x:c r="I11" s="80"/>
      <x:c r="J11" s="114" t="str">
        <x:v>MOIC proxy</x:v>
      </x:c>
      <x:c r="K11" s="114"/>
      <x:c r="L11" s="80"/>
      <x:c r="M11" s="80"/>
      <x:c r="N11" s="80"/>
      <x:c r="O11" s="80"/>
      <x:c r="P11" s="80"/>
      <x:c r="Q11" s="80"/>
      <x:c r="R11" s="80"/>
      <x:c r="S11" s="80"/>
      <x:c r="T11" s="80"/>
      <x:c r="U11" s="80"/>
      <x:c r="V11" s="80"/>
      <x:c r="W11" s="80"/>
      <x:c r="X11" s="80"/>
      <x:c r="Y11" s="80"/>
      <x:c r="Z11" s="80"/>
      <x:c r="AA11" s="80"/>
      <x:c r="AB11" s="80"/>
      <x:c r="AC11" s="80"/>
      <x:c r="AD11" s="80"/>
      <x:c r="AE11" s="80"/>
      <x:c r="AF11" s="80"/>
      <x:c r="AG11" s="80"/>
      <x:c r="AH11" s="80"/>
      <x:c r="AI11" s="80"/>
      <x:c r="AJ11" s="80"/>
      <x:c r="AK11" s="80"/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72" t="n">
        <x:f>'Audit_v03'!H9</x:f>
        <x:v>7589634.140299353</x:v>
      </x:c>
      <x:c r="B12" s="72"/>
      <x:c r="C12" s="80"/>
      <x:c r="D12" s="74" t="n">
        <x:f>'Audit_v03'!I9</x:f>
        <x:v>0.18630241621974744</x:v>
      </x:c>
      <x:c r="E12" s="74"/>
      <x:c r="F12" s="80"/>
      <x:c r="G12" s="74" t="n">
        <x:f>'Audit_v03'!K9</x:f>
        <x:v>0.010245959291934947</x:v>
      </x:c>
      <x:c r="H12" s="74"/>
      <x:c r="I12" s="80"/>
      <x:c r="J12" s="76" t="n">
        <x:f>'Audit_v03'!L9</x:f>
        <x:v>1.0858984549844668</x:v>
      </x:c>
      <x:c r="K12" s="76"/>
      <x:c r="L12" s="80"/>
      <x:c r="M12" s="80"/>
      <x:c r="N12" s="80"/>
      <x:c r="O12" s="80"/>
      <x:c r="P12" s="80"/>
      <x:c r="Q12" s="80"/>
      <x:c r="R12" s="80"/>
      <x:c r="S12" s="80"/>
      <x:c r="T12" s="80"/>
      <x:c r="U12" s="80"/>
      <x:c r="V12" s="80"/>
      <x:c r="W12" s="80"/>
      <x:c r="X12" s="80"/>
      <x:c r="Y12" s="80"/>
      <x:c r="Z12" s="80"/>
      <x:c r="AA12" s="80"/>
      <x:c r="AB12" s="80"/>
      <x:c r="AC12" s="80"/>
      <x:c r="AD12" s="80"/>
      <x:c r="AE12" s="80"/>
      <x:c r="AF12" s="80"/>
      <x:c r="AG12" s="80"/>
      <x:c r="AH12" s="80"/>
      <x:c r="AI12" s="80"/>
      <x:c r="AJ12" s="80"/>
      <x:c r="AK12" s="80"/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>
      <x:c r="A13" s="72"/>
      <x:c r="B13" s="72"/>
      <x:c r="C13" s="80"/>
      <x:c r="D13" s="74"/>
      <x:c r="E13" s="74"/>
      <x:c r="F13" s="80"/>
      <x:c r="G13" s="74"/>
      <x:c r="H13" s="74"/>
      <x:c r="I13" s="80"/>
      <x:c r="J13" s="76"/>
      <x:c r="K13" s="76"/>
      <x:c r="L13" s="80"/>
      <x:c r="M13" s="80"/>
      <x:c r="N13" s="80"/>
      <x:c r="O13" s="80"/>
      <x:c r="P13" s="80"/>
      <x:c r="Q13" s="80"/>
      <x:c r="R13" s="80"/>
      <x:c r="S13" s="80"/>
      <x:c r="T13" s="80"/>
      <x:c r="U13" s="80"/>
      <x:c r="V13" s="80"/>
      <x:c r="W13" s="80"/>
      <x:c r="X13" s="80"/>
      <x:c r="Y13" s="80"/>
      <x:c r="Z13" s="80"/>
      <x:c r="AA13" s="80"/>
      <x:c r="AB13" s="80"/>
      <x:c r="AC13" s="80"/>
      <x:c r="AD13" s="80"/>
      <x:c r="AE13" s="80"/>
      <x:c r="AF13" s="80"/>
      <x:c r="AG13" s="80"/>
      <x:c r="AH13" s="80"/>
      <x:c r="AI13" s="80"/>
      <x:c r="AJ13" s="80"/>
      <x:c r="AK13" s="80"/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>
      <x:c r="A14" s="80"/>
      <x:c r="B14" s="80"/>
      <x:c r="C14" s="80"/>
      <x:c r="D14" s="80"/>
      <x:c r="E14" s="80"/>
      <x:c r="F14" s="80"/>
      <x:c r="G14" s="80"/>
      <x:c r="H14" s="80"/>
      <x:c r="I14" s="80"/>
      <x:c r="J14" s="80"/>
      <x:c r="K14" s="80"/>
      <x:c r="L14" s="80"/>
      <x:c r="M14" s="80"/>
      <x:c r="N14" s="80"/>
      <x:c r="O14" s="80"/>
      <x:c r="P14" s="80"/>
      <x:c r="Q14" s="80"/>
      <x:c r="R14" s="80"/>
      <x:c r="S14" s="80"/>
      <x:c r="T14" s="80"/>
      <x:c r="U14" s="80"/>
      <x:c r="V14" s="80"/>
      <x:c r="W14" s="80"/>
      <x:c r="X14" s="80"/>
      <x:c r="Y14" s="80"/>
      <x:c r="Z14" s="80"/>
      <x:c r="AA14" s="80"/>
      <x:c r="AB14" s="80"/>
      <x:c r="AC14" s="80"/>
      <x:c r="AD14" s="80"/>
      <x:c r="AE14" s="80"/>
      <x:c r="AF14" s="80"/>
      <x:c r="AG14" s="80"/>
      <x:c r="AH14" s="80"/>
      <x:c r="AI14" s="80"/>
      <x:c r="AJ14" s="80"/>
      <x:c r="AK14" s="80"/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  <x:row r="15">
      <x:c r="A15" s="80"/>
      <x:c r="B15" s="80"/>
      <x:c r="C15" s="80"/>
      <x:c r="D15" s="80"/>
      <x:c r="E15" s="80"/>
      <x:c r="F15" s="80"/>
      <x:c r="G15" s="80"/>
      <x:c r="H15" s="80"/>
      <x:c r="I15" s="80"/>
      <x:c r="J15" s="80"/>
      <x:c r="K15" s="80"/>
      <x:c r="L15" s="80"/>
      <x:c r="M15" s="80"/>
      <x:c r="N15" s="80"/>
      <x:c r="O15" s="80"/>
      <x:c r="P15" s="80"/>
      <x:c r="Q15" s="80"/>
      <x:c r="R15" s="80"/>
      <x:c r="S15" s="80"/>
      <x:c r="T15" s="80"/>
      <x:c r="U15" s="80"/>
      <x:c r="V15" s="80"/>
      <x:c r="W15" s="80"/>
      <x:c r="X15" s="80"/>
      <x:c r="Y15" s="80"/>
      <x:c r="Z15" s="80"/>
      <x:c r="AA15" s="80"/>
      <x:c r="AB15" s="80"/>
      <x:c r="AC15" s="80"/>
      <x:c r="AD15" s="80"/>
      <x:c r="AE15" s="80"/>
      <x:c r="AF15" s="80"/>
      <x:c r="AG15" s="80"/>
      <x:c r="AH15" s="80"/>
      <x:c r="AI15" s="80"/>
      <x:c r="AJ15" s="80"/>
      <x:c r="AK15" s="80"/>
      <x:c r="AL15" s="80"/>
      <x:c r="AM15" s="80"/>
      <x:c r="AN15" s="80"/>
      <x:c r="AO15" s="80"/>
      <x:c r="AP15" s="80"/>
      <x:c r="AQ15" s="80"/>
      <x:c r="AR15" s="80"/>
      <x:c r="AS15" s="80"/>
      <x:c r="AT15" s="80"/>
      <x:c r="AU15" s="80"/>
      <x:c r="AV15" s="80"/>
      <x:c r="AW15" s="80"/>
      <x:c r="AX15" s="80"/>
      <x:c r="AY15" s="80"/>
      <x:c r="AZ15" s="80"/>
    </x:row>
    <x:row r="16" ht="26" customHeight="1">
      <x:c r="A16" s="101" t="str">
        <x:v>Month</x:v>
      </x:c>
      <x:c r="B16" s="102" t="str">
        <x:v>Revenue</x:v>
      </x:c>
      <x:c r="C16" s="102" t="str">
        <x:v>OPEX</x:v>
      </x:c>
      <x:c r="D16" s="103" t="str">
        <x:v>EBITDA</x:v>
      </x:c>
      <x:c r="E16" s="80"/>
      <x:c r="F16" s="80"/>
      <x:c r="G16" s="80"/>
      <x:c r="H16" s="80"/>
      <x:c r="I16" s="80"/>
      <x:c r="J16" s="80"/>
      <x:c r="K16" s="80"/>
      <x:c r="L16" s="80"/>
      <x:c r="M16" s="80"/>
      <x:c r="N16" s="80"/>
      <x:c r="O16" s="80"/>
      <x:c r="P16" s="80"/>
      <x:c r="Q16" s="80"/>
      <x:c r="R16" s="80"/>
      <x:c r="S16" s="80"/>
      <x:c r="T16" s="80"/>
      <x:c r="U16" s="80"/>
      <x:c r="V16" s="80"/>
      <x:c r="W16" s="80"/>
      <x:c r="X16" s="80"/>
      <x:c r="Y16" s="80"/>
      <x:c r="Z16" s="80"/>
      <x:c r="AA16" s="80"/>
      <x:c r="AB16" s="80"/>
      <x:c r="AC16" s="80"/>
      <x:c r="AD16" s="80"/>
      <x:c r="AE16" s="80"/>
      <x:c r="AF16" s="80"/>
      <x:c r="AG16" s="80"/>
      <x:c r="AH16" s="80"/>
      <x:c r="AI16" s="80"/>
      <x:c r="AJ16" s="80"/>
      <x:c r="AK16" s="80"/>
      <x:c r="AL16" s="80"/>
      <x:c r="AM16" s="80"/>
      <x:c r="AN16" s="80"/>
      <x:c r="AO16" s="80"/>
      <x:c r="AP16" s="80"/>
      <x:c r="AQ16" s="80"/>
      <x:c r="AR16" s="80"/>
      <x:c r="AS16" s="80"/>
      <x:c r="AT16" s="80"/>
      <x:c r="AU16" s="80"/>
      <x:c r="AV16" s="80"/>
      <x:c r="AW16" s="80"/>
      <x:c r="AX16" s="80"/>
      <x:c r="AY16" s="80"/>
      <x:c r="AZ16" s="80"/>
    </x:row>
    <x:row r="17">
      <x:c r="A17" s="115" t="n">
        <x:v>46753</x:v>
      </x:c>
      <x:c r="B17" s="98" t="n">
        <x:v>1513175.5287243638</x:v>
      </x:c>
      <x:c r="C17" s="98" t="n">
        <x:v>2181386.824548996</x:v>
      </x:c>
      <x:c r="D17" s="98" t="n">
        <x:v>-668211.2958246323</x:v>
      </x:c>
      <x:c r="E17" s="80"/>
      <x:c r="F17" s="80"/>
      <x:c r="G17" s="80"/>
      <x:c r="H17" s="80"/>
      <x:c r="I17" s="80"/>
      <x:c r="J17" s="80"/>
      <x:c r="K17" s="80"/>
      <x:c r="L17" s="80"/>
      <x:c r="M17" s="80"/>
      <x:c r="N17" s="80"/>
      <x:c r="O17" s="80"/>
      <x:c r="P17" s="80"/>
      <x:c r="Q17" s="80"/>
      <x:c r="R17" s="80"/>
      <x:c r="S17" s="80"/>
      <x:c r="T17" s="80"/>
      <x:c r="U17" s="80"/>
      <x:c r="V17" s="80"/>
      <x:c r="W17" s="80"/>
      <x:c r="X17" s="80"/>
      <x:c r="Y17" s="80"/>
      <x:c r="Z17" s="80"/>
      <x:c r="AA17" s="80"/>
      <x:c r="AB17" s="80"/>
      <x:c r="AC17" s="80"/>
      <x:c r="AD17" s="80"/>
      <x:c r="AE17" s="80"/>
      <x:c r="AF17" s="80"/>
      <x:c r="AG17" s="80"/>
      <x:c r="AH17" s="80"/>
      <x:c r="AI17" s="80"/>
      <x:c r="AJ17" s="80"/>
      <x:c r="AK17" s="80"/>
      <x:c r="AL17" s="80"/>
      <x:c r="AM17" s="80"/>
      <x:c r="AN17" s="80"/>
      <x:c r="AO17" s="80"/>
      <x:c r="AP17" s="80"/>
      <x:c r="AQ17" s="80"/>
      <x:c r="AR17" s="80"/>
      <x:c r="AS17" s="80"/>
      <x:c r="AT17" s="80"/>
      <x:c r="AU17" s="80"/>
      <x:c r="AV17" s="80"/>
      <x:c r="AW17" s="80"/>
      <x:c r="AX17" s="80"/>
      <x:c r="AY17" s="80"/>
      <x:c r="AZ17" s="80"/>
    </x:row>
    <x:row r="18">
      <x:c r="A18" s="115" t="n">
        <x:v>46784</x:v>
      </x:c>
      <x:c r="B18" s="98" t="n">
        <x:v>1767306.2156654545</x:v>
      </x:c>
      <x:c r="C18" s="98" t="n">
        <x:v>2267637.7716373</x:v>
      </x:c>
      <x:c r="D18" s="98" t="n">
        <x:v>-500331.5559718455</x:v>
      </x:c>
      <x:c r="E18" s="80"/>
      <x:c r="F18" s="80"/>
      <x:c r="G18" s="80"/>
      <x:c r="H18" s="80"/>
      <x:c r="I18" s="80"/>
      <x:c r="J18" s="80"/>
      <x:c r="K18" s="80"/>
      <x:c r="L18" s="80"/>
      <x:c r="M18" s="80"/>
      <x:c r="N18" s="80"/>
      <x:c r="O18" s="80"/>
      <x:c r="P18" s="80"/>
      <x:c r="Q18" s="80"/>
      <x:c r="R18" s="80"/>
      <x:c r="S18" s="80"/>
      <x:c r="T18" s="80"/>
      <x:c r="U18" s="80"/>
      <x:c r="V18" s="80"/>
      <x:c r="W18" s="80"/>
      <x:c r="X18" s="80"/>
      <x:c r="Y18" s="80"/>
      <x:c r="Z18" s="80"/>
      <x:c r="AA18" s="80"/>
      <x:c r="AB18" s="80"/>
      <x:c r="AC18" s="80"/>
      <x:c r="AD18" s="80"/>
      <x:c r="AE18" s="80"/>
      <x:c r="AF18" s="80"/>
      <x:c r="AG18" s="80"/>
      <x:c r="AH18" s="80"/>
      <x:c r="AI18" s="80"/>
      <x:c r="AJ18" s="80"/>
      <x:c r="AK18" s="80"/>
      <x:c r="AL18" s="80"/>
      <x:c r="AM18" s="80"/>
      <x:c r="AN18" s="80"/>
      <x:c r="AO18" s="80"/>
      <x:c r="AP18" s="80"/>
      <x:c r="AQ18" s="80"/>
      <x:c r="AR18" s="80"/>
      <x:c r="AS18" s="80"/>
      <x:c r="AT18" s="80"/>
      <x:c r="AU18" s="80"/>
      <x:c r="AV18" s="80"/>
      <x:c r="AW18" s="80"/>
      <x:c r="AX18" s="80"/>
      <x:c r="AY18" s="80"/>
      <x:c r="AZ18" s="80"/>
    </x:row>
    <x:row r="19">
      <x:c r="A19" s="115" t="n">
        <x:v>46813</x:v>
      </x:c>
      <x:c r="B19" s="98" t="n">
        <x:v>2355233.4786578184</x:v>
      </x:c>
      <x:c r="C19" s="98" t="n">
        <x:v>2475937.9205132783</x:v>
      </x:c>
      <x:c r="D19" s="98" t="n">
        <x:v>-120704.44185545994</x:v>
      </x:c>
      <x:c r="E19" s="80"/>
      <x:c r="F19" s="80"/>
      <x:c r="G19" s="80"/>
      <x:c r="H19" s="80"/>
      <x:c r="I19" s="80"/>
      <x:c r="J19" s="80"/>
      <x:c r="K19" s="80"/>
      <x:c r="L19" s="80"/>
      <x:c r="M19" s="80"/>
      <x:c r="N19" s="80"/>
      <x:c r="O19" s="80"/>
      <x:c r="P19" s="80"/>
      <x:c r="Q19" s="80"/>
      <x:c r="R19" s="80"/>
      <x:c r="S19" s="80"/>
      <x:c r="T19" s="80"/>
      <x:c r="U19" s="80"/>
      <x:c r="V19" s="80"/>
      <x:c r="W19" s="80"/>
      <x:c r="X19" s="80"/>
      <x:c r="Y19" s="80"/>
      <x:c r="Z19" s="80"/>
      <x:c r="AA19" s="80"/>
      <x:c r="AB19" s="80"/>
      <x:c r="AC19" s="80"/>
      <x:c r="AD19" s="80"/>
      <x:c r="AE19" s="80"/>
      <x:c r="AF19" s="80"/>
      <x:c r="AG19" s="80"/>
      <x:c r="AH19" s="80"/>
      <x:c r="AI19" s="80"/>
      <x:c r="AJ19" s="80"/>
      <x:c r="AK19" s="80"/>
      <x:c r="AL19" s="80"/>
      <x:c r="AM19" s="80"/>
      <x:c r="AN19" s="80"/>
      <x:c r="AO19" s="80"/>
      <x:c r="AP19" s="80"/>
      <x:c r="AQ19" s="80"/>
      <x:c r="AR19" s="80"/>
      <x:c r="AS19" s="80"/>
      <x:c r="AT19" s="80"/>
      <x:c r="AU19" s="80"/>
      <x:c r="AV19" s="80"/>
      <x:c r="AW19" s="80"/>
      <x:c r="AX19" s="80"/>
      <x:c r="AY19" s="80"/>
      <x:c r="AZ19" s="80"/>
    </x:row>
    <x:row r="20">
      <x:c r="A20" s="115" t="n">
        <x:v>46844</x:v>
      </x:c>
      <x:c r="B20" s="98" t="n">
        <x:v>2771626.2571963635</x:v>
      </x:c>
      <x:c r="C20" s="98" t="n">
        <x:v>2584231.3336977595</x:v>
      </x:c>
      <x:c r="D20" s="98" t="n">
        <x:v>187394.92349860398</x:v>
      </x:c>
      <x:c r="E20" s="80"/>
      <x:c r="F20" s="80"/>
      <x:c r="G20" s="80"/>
      <x:c r="H20" s="80"/>
      <x:c r="I20" s="80"/>
      <x:c r="J20" s="80"/>
      <x:c r="K20" s="80"/>
      <x:c r="L20" s="80"/>
      <x:c r="M20" s="80"/>
      <x:c r="N20" s="80"/>
      <x:c r="O20" s="80"/>
      <x:c r="P20" s="80"/>
      <x:c r="Q20" s="80"/>
      <x:c r="R20" s="80"/>
      <x:c r="S20" s="80"/>
      <x:c r="T20" s="80"/>
      <x:c r="U20" s="80"/>
      <x:c r="V20" s="80"/>
      <x:c r="W20" s="80"/>
      <x:c r="X20" s="80"/>
      <x:c r="Y20" s="80"/>
      <x:c r="Z20" s="80"/>
      <x:c r="AA20" s="80"/>
      <x:c r="AB20" s="80"/>
      <x:c r="AC20" s="80"/>
      <x:c r="AD20" s="80"/>
      <x:c r="AE20" s="80"/>
      <x:c r="AF20" s="80"/>
      <x:c r="AG20" s="80"/>
      <x:c r="AH20" s="80"/>
      <x:c r="AI20" s="80"/>
      <x:c r="AJ20" s="80"/>
      <x:c r="AK20" s="80"/>
      <x:c r="AL20" s="80"/>
      <x:c r="AM20" s="80"/>
      <x:c r="AN20" s="80"/>
      <x:c r="AO20" s="80"/>
      <x:c r="AP20" s="80"/>
      <x:c r="AQ20" s="80"/>
      <x:c r="AR20" s="80"/>
      <x:c r="AS20" s="80"/>
      <x:c r="AT20" s="80"/>
      <x:c r="AU20" s="80"/>
      <x:c r="AV20" s="80"/>
      <x:c r="AW20" s="80"/>
      <x:c r="AX20" s="80"/>
      <x:c r="AY20" s="80"/>
      <x:c r="AZ20" s="80"/>
    </x:row>
    <x:row r="21">
      <x:c r="A21" s="115" t="n">
        <x:v>46874</x:v>
      </x:c>
      <x:c r="B21" s="98" t="n">
        <x:v>3463658.6469647265</x:v>
      </x:c>
      <x:c r="C21" s="98" t="n">
        <x:v>2773633.836847943</x:v>
      </x:c>
      <x:c r="D21" s="98" t="n">
        <x:v>690024.8101167837</x:v>
      </x:c>
      <x:c r="E21" s="80"/>
      <x:c r="F21" s="80"/>
      <x:c r="G21" s="80"/>
      <x:c r="H21" s="80"/>
      <x:c r="I21" s="80"/>
      <x:c r="J21" s="80"/>
      <x:c r="K21" s="80"/>
      <x:c r="L21" s="80"/>
      <x:c r="M21" s="80"/>
      <x:c r="N21" s="80"/>
      <x:c r="O21" s="80"/>
      <x:c r="P21" s="80"/>
      <x:c r="Q21" s="80"/>
      <x:c r="R21" s="80"/>
      <x:c r="S21" s="80"/>
      <x:c r="T21" s="80"/>
      <x:c r="U21" s="80"/>
      <x:c r="V21" s="80"/>
      <x:c r="W21" s="80"/>
      <x:c r="X21" s="80"/>
      <x:c r="Y21" s="80"/>
      <x:c r="Z21" s="80"/>
      <x:c r="AA21" s="80"/>
      <x:c r="AB21" s="80"/>
      <x:c r="AC21" s="80"/>
      <x:c r="AD21" s="80"/>
      <x:c r="AE21" s="80"/>
      <x:c r="AF21" s="80"/>
      <x:c r="AG21" s="80"/>
      <x:c r="AH21" s="80"/>
      <x:c r="AI21" s="80"/>
      <x:c r="AJ21" s="80"/>
      <x:c r="AK21" s="80"/>
      <x:c r="AL21" s="80"/>
      <x:c r="AM21" s="80"/>
      <x:c r="AN21" s="80"/>
      <x:c r="AO21" s="80"/>
      <x:c r="AP21" s="80"/>
      <x:c r="AQ21" s="80"/>
      <x:c r="AR21" s="80"/>
      <x:c r="AS21" s="80"/>
      <x:c r="AT21" s="80"/>
      <x:c r="AU21" s="80"/>
      <x:c r="AV21" s="80"/>
      <x:c r="AW21" s="80"/>
      <x:c r="AX21" s="80"/>
      <x:c r="AY21" s="80"/>
      <x:c r="AZ21" s="80"/>
    </x:row>
    <x:row r="22">
      <x:c r="A22" s="115" t="n">
        <x:v>46905</x:v>
      </x:c>
      <x:c r="B22" s="98" t="n">
        <x:v>4433853.209978182</x:v>
      </x:c>
      <x:c r="C22" s="98" t="n">
        <x:v>3018345.75296466</x:v>
      </x:c>
      <x:c r="D22" s="98" t="n">
        <x:v>1415507.4570135218</x:v>
      </x:c>
      <x:c r="E22" s="80"/>
      <x:c r="F22" s="80"/>
      <x:c r="G22" s="80"/>
      <x:c r="H22" s="80"/>
      <x:c r="I22" s="80"/>
      <x:c r="J22" s="80"/>
      <x:c r="K22" s="80"/>
      <x:c r="L22" s="80"/>
      <x:c r="M22" s="80"/>
      <x:c r="N22" s="80"/>
      <x:c r="O22" s="80"/>
      <x:c r="P22" s="80"/>
      <x:c r="Q22" s="80"/>
      <x:c r="R22" s="80"/>
      <x:c r="S22" s="80"/>
      <x:c r="T22" s="80"/>
      <x:c r="U22" s="80"/>
      <x:c r="V22" s="80"/>
      <x:c r="W22" s="80"/>
      <x:c r="X22" s="80"/>
      <x:c r="Y22" s="80"/>
      <x:c r="Z22" s="80"/>
      <x:c r="AA22" s="80"/>
      <x:c r="AB22" s="80"/>
      <x:c r="AC22" s="80"/>
      <x:c r="AD22" s="80"/>
      <x:c r="AE22" s="80"/>
      <x:c r="AF22" s="80"/>
      <x:c r="AG22" s="80"/>
      <x:c r="AH22" s="80"/>
      <x:c r="AI22" s="80"/>
      <x:c r="AJ22" s="80"/>
      <x:c r="AK22" s="80"/>
      <x:c r="AL22" s="80"/>
      <x:c r="AM22" s="80"/>
      <x:c r="AN22" s="80"/>
      <x:c r="AO22" s="80"/>
      <x:c r="AP22" s="80"/>
      <x:c r="AQ22" s="80"/>
      <x:c r="AR22" s="80"/>
      <x:c r="AS22" s="80"/>
      <x:c r="AT22" s="80"/>
      <x:c r="AU22" s="80"/>
      <x:c r="AV22" s="80"/>
      <x:c r="AW22" s="80"/>
      <x:c r="AX22" s="80"/>
      <x:c r="AY22" s="80"/>
      <x:c r="AZ22" s="80"/>
    </x:row>
    <x:row r="23">
      <x:c r="A23" s="115" t="n">
        <x:v>46935</x:v>
      </x:c>
      <x:c r="B23" s="98" t="n">
        <x:v>5276046.693501817</x:v>
      </x:c>
      <x:c r="C23" s="98" t="n">
        <x:v>3244263.661273892</x:v>
      </x:c>
      <x:c r="D23" s="98" t="n">
        <x:v>2031783.032227925</x:v>
      </x:c>
      <x:c r="E23" s="80"/>
      <x:c r="F23" s="80"/>
      <x:c r="G23" s="80"/>
      <x:c r="H23" s="80"/>
      <x:c r="I23" s="80"/>
      <x:c r="J23" s="80"/>
      <x:c r="K23" s="80"/>
      <x:c r="L23" s="80"/>
      <x:c r="M23" s="80"/>
      <x:c r="N23" s="80"/>
      <x:c r="O23" s="80"/>
      <x:c r="P23" s="80"/>
      <x:c r="Q23" s="80"/>
      <x:c r="R23" s="80"/>
      <x:c r="S23" s="80"/>
      <x:c r="T23" s="80"/>
      <x:c r="U23" s="80"/>
      <x:c r="V23" s="80"/>
      <x:c r="W23" s="80"/>
      <x:c r="X23" s="80"/>
      <x:c r="Y23" s="80"/>
      <x:c r="Z23" s="80"/>
      <x:c r="AA23" s="80"/>
      <x:c r="AB23" s="80"/>
      <x:c r="AC23" s="80"/>
      <x:c r="AD23" s="80"/>
      <x:c r="AE23" s="80"/>
      <x:c r="AF23" s="80"/>
      <x:c r="AG23" s="80"/>
      <x:c r="AH23" s="80"/>
      <x:c r="AI23" s="80"/>
      <x:c r="AJ23" s="80"/>
      <x:c r="AK23" s="80"/>
      <x:c r="AL23" s="80"/>
      <x:c r="AM23" s="80"/>
      <x:c r="AN23" s="80"/>
      <x:c r="AO23" s="80"/>
      <x:c r="AP23" s="80"/>
      <x:c r="AQ23" s="80"/>
      <x:c r="AR23" s="80"/>
      <x:c r="AS23" s="80"/>
      <x:c r="AT23" s="80"/>
      <x:c r="AU23" s="80"/>
      <x:c r="AV23" s="80"/>
      <x:c r="AW23" s="80"/>
      <x:c r="AX23" s="80"/>
      <x:c r="AY23" s="80"/>
      <x:c r="AZ23" s="80"/>
    </x:row>
    <x:row r="24">
      <x:c r="A24" s="115" t="n">
        <x:v>46966</x:v>
      </x:c>
      <x:c r="B24" s="98" t="n">
        <x:v>4852022.3839309085</x:v>
      </x:c>
      <x:c r="C24" s="98" t="n">
        <x:v>3132918.7479012655</x:v>
      </x:c>
      <x:c r="D24" s="98" t="n">
        <x:v>1719103.636029643</x:v>
      </x:c>
      <x:c r="E24" s="80"/>
      <x:c r="F24" s="80"/>
      <x:c r="G24" s="80"/>
      <x:c r="H24" s="80"/>
      <x:c r="I24" s="80"/>
      <x:c r="J24" s="80"/>
      <x:c r="K24" s="80"/>
      <x:c r="L24" s="80"/>
      <x:c r="M24" s="80"/>
      <x:c r="N24" s="80"/>
      <x:c r="O24" s="80"/>
      <x:c r="P24" s="80"/>
      <x:c r="Q24" s="80"/>
      <x:c r="R24" s="80"/>
      <x:c r="S24" s="80"/>
      <x:c r="T24" s="80"/>
      <x:c r="U24" s="80"/>
      <x:c r="V24" s="80"/>
      <x:c r="W24" s="80"/>
      <x:c r="X24" s="80"/>
      <x:c r="Y24" s="80"/>
      <x:c r="Z24" s="80"/>
      <x:c r="AA24" s="80"/>
      <x:c r="AB24" s="80"/>
      <x:c r="AC24" s="80"/>
      <x:c r="AD24" s="80"/>
      <x:c r="AE24" s="80"/>
      <x:c r="AF24" s="80"/>
      <x:c r="AG24" s="80"/>
      <x:c r="AH24" s="80"/>
      <x:c r="AI24" s="80"/>
      <x:c r="AJ24" s="80"/>
      <x:c r="AK24" s="80"/>
      <x:c r="AL24" s="80"/>
      <x:c r="AM24" s="80"/>
      <x:c r="AN24" s="80"/>
      <x:c r="AO24" s="80"/>
      <x:c r="AP24" s="80"/>
      <x:c r="AQ24" s="80"/>
      <x:c r="AR24" s="80"/>
      <x:c r="AS24" s="80"/>
      <x:c r="AT24" s="80"/>
      <x:c r="AU24" s="80"/>
      <x:c r="AV24" s="80"/>
      <x:c r="AW24" s="80"/>
      <x:c r="AX24" s="80"/>
      <x:c r="AY24" s="80"/>
      <x:c r="AZ24" s="80"/>
    </x:row>
    <x:row r="25">
      <x:c r="A25" s="115" t="n">
        <x:v>46997</x:v>
      </x:c>
      <x:c r="B25" s="98" t="n">
        <x:v>3806830.8540436365</x:v>
      </x:c>
      <x:c r="C25" s="98" t="n">
        <x:v>2875062.607299499</x:v>
      </x:c>
      <x:c r="D25" s="98" t="n">
        <x:v>931768.2467441373</x:v>
      </x:c>
      <x:c r="E25" s="80"/>
      <x:c r="F25" s="80"/>
      <x:c r="G25" s="80"/>
      <x:c r="H25" s="80"/>
      <x:c r="I25" s="80"/>
      <x:c r="J25" s="80"/>
      <x:c r="K25" s="80"/>
      <x:c r="L25" s="80"/>
      <x:c r="M25" s="80"/>
      <x:c r="N25" s="80"/>
      <x:c r="O25" s="80"/>
      <x:c r="P25" s="80"/>
      <x:c r="Q25" s="80"/>
      <x:c r="R25" s="80"/>
      <x:c r="S25" s="80"/>
      <x:c r="T25" s="80"/>
      <x:c r="U25" s="80"/>
      <x:c r="V25" s="80"/>
      <x:c r="W25" s="80"/>
      <x:c r="X25" s="80"/>
      <x:c r="Y25" s="80"/>
      <x:c r="Z25" s="80"/>
      <x:c r="AA25" s="80"/>
      <x:c r="AB25" s="80"/>
      <x:c r="AC25" s="80"/>
      <x:c r="AD25" s="80"/>
      <x:c r="AE25" s="80"/>
      <x:c r="AF25" s="80"/>
      <x:c r="AG25" s="80"/>
      <x:c r="AH25" s="80"/>
      <x:c r="AI25" s="80"/>
      <x:c r="AJ25" s="80"/>
      <x:c r="AK25" s="80"/>
      <x:c r="AL25" s="80"/>
      <x:c r="AM25" s="80"/>
      <x:c r="AN25" s="80"/>
      <x:c r="AO25" s="80"/>
      <x:c r="AP25" s="80"/>
      <x:c r="AQ25" s="80"/>
      <x:c r="AR25" s="80"/>
      <x:c r="AS25" s="80"/>
      <x:c r="AT25" s="80"/>
      <x:c r="AU25" s="80"/>
      <x:c r="AV25" s="80"/>
      <x:c r="AW25" s="80"/>
      <x:c r="AX25" s="80"/>
      <x:c r="AY25" s="80"/>
      <x:c r="AZ25" s="80"/>
    </x:row>
    <x:row r="26">
      <x:c r="A26" s="115" t="n">
        <x:v>47027</x:v>
      </x:c>
      <x:c r="B26" s="98" t="n">
        <x:v>3384829.8928487273</x:v>
      </x:c>
      <x:c r="C26" s="98" t="n">
        <x:v>2805212.239306314</x:v>
      </x:c>
      <x:c r="D26" s="98" t="n">
        <x:v>579617.6535424134</x:v>
      </x:c>
      <x:c r="E26" s="80"/>
      <x:c r="F26" s="80"/>
      <x:c r="G26" s="80"/>
      <x:c r="H26" s="80"/>
      <x:c r="I26" s="80"/>
      <x:c r="J26" s="80"/>
      <x:c r="K26" s="80"/>
      <x:c r="L26" s="80"/>
      <x:c r="M26" s="80"/>
      <x:c r="N26" s="80"/>
      <x:c r="O26" s="80"/>
      <x:c r="P26" s="80"/>
      <x:c r="Q26" s="80"/>
      <x:c r="R26" s="80"/>
      <x:c r="S26" s="80"/>
      <x:c r="T26" s="80"/>
      <x:c r="U26" s="80"/>
      <x:c r="V26" s="80"/>
      <x:c r="W26" s="80"/>
      <x:c r="X26" s="80"/>
      <x:c r="Y26" s="80"/>
      <x:c r="Z26" s="80"/>
      <x:c r="AA26" s="80"/>
      <x:c r="AB26" s="80"/>
      <x:c r="AC26" s="80"/>
      <x:c r="AD26" s="80"/>
      <x:c r="AE26" s="80"/>
      <x:c r="AF26" s="80"/>
      <x:c r="AG26" s="80"/>
      <x:c r="AH26" s="80"/>
      <x:c r="AI26" s="80"/>
      <x:c r="AJ26" s="80"/>
      <x:c r="AK26" s="80"/>
      <x:c r="AL26" s="80"/>
      <x:c r="AM26" s="80"/>
      <x:c r="AN26" s="80"/>
      <x:c r="AO26" s="80"/>
      <x:c r="AP26" s="80"/>
      <x:c r="AQ26" s="80"/>
      <x:c r="AR26" s="80"/>
      <x:c r="AS26" s="80"/>
      <x:c r="AT26" s="80"/>
      <x:c r="AU26" s="80"/>
      <x:c r="AV26" s="80"/>
      <x:c r="AW26" s="80"/>
      <x:c r="AX26" s="80"/>
      <x:c r="AY26" s="80"/>
      <x:c r="AZ26" s="80"/>
    </x:row>
    <x:row r="27">
      <x:c r="A27" s="115" t="n">
        <x:v>47058</x:v>
      </x:c>
      <x:c r="B27" s="98" t="n">
        <x:v>2778184.8642545454</x:v>
      </x:c>
      <x:c r="C27" s="98" t="n">
        <x:v>2646815.4738181806</x:v>
      </x:c>
      <x:c r="D27" s="98" t="n">
        <x:v>131369.3904363648</x:v>
      </x:c>
      <x:c r="E27" s="80"/>
      <x:c r="F27" s="80"/>
      <x:c r="G27" s="80"/>
      <x:c r="H27" s="80"/>
      <x:c r="I27" s="80"/>
      <x:c r="J27" s="80"/>
      <x:c r="K27" s="80"/>
      <x:c r="L27" s="80"/>
      <x:c r="M27" s="80"/>
      <x:c r="N27" s="80"/>
      <x:c r="O27" s="80"/>
      <x:c r="P27" s="80"/>
      <x:c r="Q27" s="80"/>
      <x:c r="R27" s="80"/>
      <x:c r="S27" s="80"/>
      <x:c r="T27" s="80"/>
      <x:c r="U27" s="80"/>
      <x:c r="V27" s="80"/>
      <x:c r="W27" s="80"/>
      <x:c r="X27" s="80"/>
      <x:c r="Y27" s="80"/>
      <x:c r="Z27" s="80"/>
      <x:c r="AA27" s="80"/>
      <x:c r="AB27" s="80"/>
      <x:c r="AC27" s="80"/>
      <x:c r="AD27" s="80"/>
      <x:c r="AE27" s="80"/>
      <x:c r="AF27" s="80"/>
      <x:c r="AG27" s="80"/>
      <x:c r="AH27" s="80"/>
      <x:c r="AI27" s="80"/>
      <x:c r="AJ27" s="80"/>
      <x:c r="AK27" s="80"/>
      <x:c r="AL27" s="80"/>
      <x:c r="AM27" s="80"/>
      <x:c r="AN27" s="80"/>
      <x:c r="AO27" s="80"/>
      <x:c r="AP27" s="80"/>
      <x:c r="AQ27" s="80"/>
      <x:c r="AR27" s="80"/>
      <x:c r="AS27" s="80"/>
      <x:c r="AT27" s="80"/>
      <x:c r="AU27" s="80"/>
      <x:c r="AV27" s="80"/>
      <x:c r="AW27" s="80"/>
      <x:c r="AX27" s="80"/>
      <x:c r="AY27" s="80"/>
      <x:c r="AZ27" s="80"/>
    </x:row>
    <x:row r="28">
      <x:c r="A28" s="115" t="n">
        <x:v>47088</x:v>
      </x:c>
      <x:c r="B28" s="98" t="n">
        <x:v>4335480.5396585455</x:v>
      </x:c>
      <x:c r="C28" s="98" t="n">
        <x:v>3143168.2553166486</x:v>
      </x:c>
      <x:c r="D28" s="98" t="n">
        <x:v>1192312.284341897</x:v>
      </x:c>
      <x:c r="E28" s="80"/>
      <x:c r="F28" s="80"/>
      <x:c r="G28" s="80"/>
      <x:c r="H28" s="80"/>
      <x:c r="I28" s="80"/>
      <x:c r="J28" s="80"/>
      <x:c r="K28" s="80"/>
      <x:c r="L28" s="80"/>
      <x:c r="M28" s="80"/>
      <x:c r="N28" s="80"/>
      <x:c r="O28" s="80"/>
      <x:c r="P28" s="80"/>
      <x:c r="Q28" s="80"/>
      <x:c r="R28" s="80"/>
      <x:c r="S28" s="80"/>
      <x:c r="T28" s="80"/>
      <x:c r="U28" s="80"/>
      <x:c r="V28" s="80"/>
      <x:c r="W28" s="80"/>
      <x:c r="X28" s="80"/>
      <x:c r="Y28" s="80"/>
      <x:c r="Z28" s="80"/>
      <x:c r="AA28" s="80"/>
      <x:c r="AB28" s="80"/>
      <x:c r="AC28" s="80"/>
      <x:c r="AD28" s="80"/>
      <x:c r="AE28" s="80"/>
      <x:c r="AF28" s="80"/>
      <x:c r="AG28" s="80"/>
      <x:c r="AH28" s="80"/>
      <x:c r="AI28" s="80"/>
      <x:c r="AJ28" s="80"/>
      <x:c r="AK28" s="80"/>
      <x:c r="AL28" s="80"/>
      <x:c r="AM28" s="80"/>
      <x:c r="AN28" s="80"/>
      <x:c r="AO28" s="80"/>
      <x:c r="AP28" s="80"/>
      <x:c r="AQ28" s="80"/>
      <x:c r="AR28" s="80"/>
      <x:c r="AS28" s="80"/>
      <x:c r="AT28" s="80"/>
      <x:c r="AU28" s="80"/>
      <x:c r="AV28" s="80"/>
      <x:c r="AW28" s="80"/>
      <x:c r="AX28" s="80"/>
      <x:c r="AY28" s="80"/>
      <x:c r="AZ28" s="80"/>
    </x:row>
  </x:sheetData>
  <x:mergeCells>
    <x:mergeCell ref="A1:N1"/>
    <x:mergeCell ref="A2:N2"/>
    <x:mergeCell ref="A4:N4"/>
    <x:mergeCell ref="A7:B7"/>
    <x:mergeCell ref="A8:B9"/>
    <x:mergeCell ref="D7:E7"/>
    <x:mergeCell ref="D8:E9"/>
    <x:mergeCell ref="G7:H7"/>
    <x:mergeCell ref="G8:H9"/>
    <x:mergeCell ref="J7:K7"/>
    <x:mergeCell ref="J8:K9"/>
    <x:mergeCell ref="A11:B11"/>
    <x:mergeCell ref="A12:B13"/>
    <x:mergeCell ref="D11:E11"/>
    <x:mergeCell ref="D12:E13"/>
    <x:mergeCell ref="G11:H11"/>
    <x:mergeCell ref="G12:H13"/>
    <x:mergeCell ref="J11:K11"/>
    <x:mergeCell ref="J12:K13"/>
  </x:mergeCells>
  <x:pageMargins left="0.7" right="0.7" top="0.75" bottom="0.75" header="0.3" footer="0.3"/>
  <x:drawing xmlns:r="http://schemas.openxmlformats.org/officeDocument/2006/relationships" r:id="R3c53f129514a40c8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16" hidden="0" customWidth="1"/>
    <x:col min="3" max="3" width="20" hidden="0" customWidth="1"/>
    <x:col min="4" max="4" width="20" hidden="0" customWidth="1"/>
    <x:col min="6" max="6" width="2" hidden="0" customWidth="1"/>
    <x:col min="7" max="7" width="36" hidden="0" customWidth="1"/>
    <x:col min="8" max="8" width="16" hidden="0" customWidth="1"/>
    <x:col min="9" max="9" width="18" hidden="0" customWidth="1"/>
  </x:cols>
  <x:sheetData>
    <x:row r="1" ht="32" customHeight="1">
      <x:c r="A1" s="4" t="str">
        <x:v>Парк Отель Сказка — assumptions v0.3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  <x:c r="AA1" s="1"/>
      <x:c r="AB1" s="1"/>
      <x:c r="AC1" s="1"/>
      <x:c r="AD1" s="1"/>
      <x:c r="AE1" s="1"/>
      <x:c r="AF1" s="1"/>
      <x:c r="AG1" s="1"/>
      <x:c r="AH1" s="1"/>
      <x:c r="AI1" s="1"/>
      <x:c r="AJ1" s="1"/>
      <x:c r="AK1" s="1"/>
      <x:c r="AL1" s="1"/>
      <x:c r="AM1" s="1"/>
      <x:c r="AN1" s="1"/>
      <x:c r="AO1" s="1"/>
      <x:c r="AP1" s="1"/>
      <x:c r="AQ1" s="1"/>
      <x:c r="AR1" s="1"/>
      <x:c r="AS1" s="1"/>
      <x:c r="AT1" s="1"/>
      <x:c r="AU1" s="1"/>
      <x:c r="AV1" s="1"/>
      <x:c r="AW1" s="1"/>
      <x:c r="AX1" s="1"/>
      <x:c r="AY1" s="1"/>
      <x:c r="AZ1" s="1"/>
    </x:row>
    <x:row r="2" ht="28" customHeight="1">
      <x:c r="A2" s="7" t="str">
        <x:v>Синие значения редактируются. Формулы на других листах используют только эти входы. Статус: DRAFT / ASSUMPTION-LED.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</x:row>
    <x:row r="4" ht="22" customHeight="1">
      <x:c r="A4" s="9" t="str">
        <x:v>Ключевые настройки</x:v>
      </x:c>
      <x:c r="B4" s="9"/>
      <x:c r="C4" s="9"/>
      <x:c r="D4" s="9"/>
    </x:row>
    <x:row r="5">
      <x:c r="A5" s="10" t="str">
        <x:v>Портфель, домов</x:v>
      </x:c>
      <x:c r="B5" s="116" t="n">
        <x:v>9</x:v>
      </x:c>
      <x:c r="C5" t="str">
        <x:v>шт.</x:v>
      </x:c>
      <x:c r="D5" t="str">
        <x:v>7 / 9 / 12</x:v>
      </x:c>
    </x:row>
    <x:row r="6">
      <x:c r="A6" s="10" t="str">
        <x:v>Сценарий</x:v>
      </x:c>
      <x:c r="B6" s="116" t="str">
        <x:v>Base</x:v>
      </x:c>
      <x:c r="C6" t="str"/>
      <x:c r="D6" t="str">
        <x:v>Downside / Base / Upside</x:v>
      </x:c>
    </x:row>
    <x:row r="7">
      <x:c r="A7" s="10" t="str">
        <x:v>Дата начала эксплуатации</x:v>
      </x:c>
      <x:c r="B7" s="117" t="n">
        <x:v>46753</x:v>
      </x:c>
      <x:c r="C7" t="str">
        <x:v>date</x:v>
      </x:c>
      <x:c r="D7" t="str">
        <x:v>после 12 месяцев застройки</x:v>
      </x:c>
    </x:row>
    <x:row r="8">
      <x:c r="A8" s="10" t="str">
        <x:v>Индексация</x:v>
      </x:c>
      <x:c r="B8" s="118" t="n">
        <x:v>0.06</x:v>
      </x:c>
      <x:c r="C8" t="str">
        <x:v>%</x:v>
      </x:c>
      <x:c r="D8" t="str">
        <x:v>годовая</x:v>
      </x:c>
    </x:row>
    <x:row r="9">
      <x:c r="A9" s="10" t="str">
        <x:v>Out-of-order</x:v>
      </x:c>
      <x:c r="B9" s="118" t="n">
        <x:v>0.02</x:v>
      </x:c>
      <x:c r="C9" t="str">
        <x:v>%</x:v>
      </x:c>
      <x:c r="D9" t="str">
        <x:v>доля недоступных ночей</x:v>
      </x:c>
    </x:row>
    <x:row r="10">
      <x:c r="A10" s="10" t="str">
        <x:v>Налог на прибыль proxy</x:v>
      </x:c>
      <x:c r="B10" s="118" t="n">
        <x:v>0.15</x:v>
      </x:c>
      <x:c r="C10" t="str">
        <x:v>%</x:v>
      </x:c>
      <x:c r="D10" t="str">
        <x:v>не налоговое заключение</x:v>
      </x:c>
    </x:row>
    <x:row r="11">
      <x:c r="A11" s="10" t="str">
        <x:v>Минимальный налог proxy</x:v>
      </x:c>
      <x:c r="B11" s="118" t="n">
        <x:v>0.01</x:v>
      </x:c>
      <x:c r="C11" t="str">
        <x:v>%</x:v>
      </x:c>
      <x:c r="D11" t="str">
        <x:v>от выручки</x:v>
      </x:c>
    </x:row>
    <x:row r="12">
      <x:c r="A12" s="10" t="str">
        <x:v>Maintenance CAPEX</x:v>
      </x:c>
      <x:c r="B12" s="118" t="n">
        <x:v>0.03</x:v>
      </x:c>
      <x:c r="C12" t="str">
        <x:v>% выручки</x:v>
      </x:c>
      <x:c r="D12" t="str">
        <x:v>эксплуатационный резерв</x:v>
      </x:c>
    </x:row>
    <x:row r="13">
      <x:c r="A13" s="10" t="str">
        <x:v>Exit multiple</x:v>
      </x:c>
      <x:c r="B13" s="119" t="n">
        <x:v>7</x:v>
      </x:c>
      <x:c r="C13" t="str">
        <x:v>x EBITDA</x:v>
      </x:c>
      <x:c r="D13" t="str">
        <x:v>иллюстративно</x:v>
      </x:c>
    </x:row>
    <x:row r="14">
      <x:c r="A14" s="10" t="str">
        <x:v>Рост после Year 3</x:v>
      </x:c>
      <x:c r="B14" s="118" t="n">
        <x:v>0.05</x:v>
      </x:c>
      <x:c r="C14" t="str">
        <x:v>%</x:v>
      </x:c>
      <x:c r="D14" t="str">
        <x:v>для Years 4–10</x:v>
      </x:c>
    </x:row>
    <x:row r="15">
      <x:c r="A15" s="10" t="str">
        <x:v>Working capital</x:v>
      </x:c>
      <x:c r="B15" s="118" t="n">
        <x:v>2</x:v>
      </x:c>
      <x:c r="C15" t="str">
        <x:v>месяца fixed OPEX</x:v>
      </x:c>
      <x:c r="D15" t="str">
        <x:v>до открытия</x:v>
      </x:c>
    </x:row>
    <x:row r="16">
      <x:c r="A16" s="10" t="str">
        <x:v>Базовая загрузка</x:v>
      </x:c>
      <x:c r="B16" s="118" t="n">
        <x:v>0.55</x:v>
      </x:c>
      <x:c r="C16" t="str">
        <x:v>%</x:v>
      </x:c>
      <x:c r="D16" t="str">
        <x:v>до сезонности</x:v>
      </x:c>
    </x:row>
    <x:row r="17">
      <x:c r="A17" s="10" t="str">
        <x:v>Базовый ADR</x:v>
      </x:c>
      <x:c r="B17" s="123" t="n">
        <x:v>17706</x:v>
      </x:c>
      <x:c r="C17" t="str">
        <x:v>₽/ночь</x:v>
      </x:c>
      <x:c r="D17" t="str">
        <x:v>по тарифам будни / выходные / праздники</x:v>
      </x:c>
    </x:row>
    <x:row r="18">
      <x:c r="A18" s="10" t="str">
        <x:v>Допы / room revenue</x:v>
      </x:c>
      <x:c r="B18" s="124" t="n">
        <x:v>0.29448029264263365</x:v>
      </x:c>
      <x:c r="C18" t="str">
        <x:v>%</x:v>
      </x:c>
      <x:c r="D18" t="str">
        <x:v>точная сумма attach-rate каталога / room revenue</x:v>
      </x:c>
    </x:row>
    <x:row r="19">
      <x:c r="A19" s="10" t="str">
        <x:v>Direct share</x:v>
      </x:c>
      <x:c r="B19" s="118" t="n">
        <x:v>0.55</x:v>
      </x:c>
      <x:c r="C19" t="str">
        <x:v>%</x:v>
      </x:c>
      <x:c r="D19" t="str">
        <x:v>прямые бронирования</x:v>
      </x:c>
    </x:row>
    <x:row r="20">
      <x:c r="A20" s="10" t="str">
        <x:v>Яндекс Путешествия share</x:v>
      </x:c>
      <x:c r="B20" s="118" t="n">
        <x:v>0.2</x:v>
      </x:c>
      <x:c r="C20" t="str">
        <x:v>%</x:v>
      </x:c>
      <x:c r="D20" t="str">
        <x:v>room revenue</x:v>
      </x:c>
    </x:row>
    <x:row r="21">
      <x:c r="A21" s="10" t="str">
        <x:v>Островок share</x:v>
      </x:c>
      <x:c r="B21" s="118" t="n">
        <x:v>0.15</x:v>
      </x:c>
      <x:c r="C21" t="str">
        <x:v>%</x:v>
      </x:c>
      <x:c r="D21" t="str">
        <x:v>room revenue</x:v>
      </x:c>
    </x:row>
    <x:row r="22">
      <x:c r="A22" s="10" t="str">
        <x:v>Авито share</x:v>
      </x:c>
      <x:c r="B22" s="118" t="n">
        <x:v>0.1</x:v>
      </x:c>
      <x:c r="C22" t="str">
        <x:v>%</x:v>
      </x:c>
      <x:c r="D22" t="str">
        <x:v>room revenue</x:v>
      </x:c>
    </x:row>
    <x:row r="23">
      <x:c r="A23" s="10" t="str">
        <x:v>Комиссия Яндекс</x:v>
      </x:c>
      <x:c r="B23" s="118" t="n">
        <x:v>0.17</x:v>
      </x:c>
      <x:c r="C23" t="str">
        <x:v>%</x:v>
      </x:c>
      <x:c r="D23" t="str">
        <x:v>подтвердить договором</x:v>
      </x:c>
    </x:row>
    <x:row r="24">
      <x:c r="A24" s="10" t="str">
        <x:v>Комиссия Островок</x:v>
      </x:c>
      <x:c r="B24" s="118" t="n">
        <x:v>0.18</x:v>
      </x:c>
      <x:c r="C24" t="str">
        <x:v>%</x:v>
      </x:c>
      <x:c r="D24" t="str">
        <x:v>подтвердить договором</x:v>
      </x:c>
    </x:row>
    <x:row r="25">
      <x:c r="A25" s="10" t="str">
        <x:v>Комиссия Авито</x:v>
      </x:c>
      <x:c r="B25" s="118" t="n">
        <x:v>0.12</x:v>
      </x:c>
      <x:c r="C25" t="str">
        <x:v>%</x:v>
      </x:c>
      <x:c r="D25" t="str">
        <x:v>подтвердить договором</x:v>
      </x:c>
    </x:row>
    <x:row r="26">
      <x:c r="A26" s="10" t="str">
        <x:v>Marketing spend / room revenue</x:v>
      </x:c>
      <x:c r="B26" s="118" t="n">
        <x:v>0.052</x:v>
      </x:c>
      <x:c r="C26" t="str">
        <x:v>%</x:v>
      </x:c>
      <x:c r="D26" t="str">
        <x:v>CPS-led budget</x:v>
      </x:c>
    </x:row>
    <x:row r="27">
      <x:c r="A27" s="10" t="str">
        <x:v>Эквайринг</x:v>
      </x:c>
      <x:c r="B27" s="118" t="n">
        <x:v>0.022</x:v>
      </x:c>
      <x:c r="C27" t="str">
        <x:v>%</x:v>
      </x:c>
      <x:c r="D27" t="str">
        <x:v>direct + допы</x:v>
      </x:c>
    </x:row>
    <x:row r="30" ht="22" customHeight="1">
      <x:c r="A30" s="9" t="str">
        <x:v>Сценарии</x:v>
      </x:c>
      <x:c r="B30" s="9"/>
      <x:c r="C30" s="9"/>
      <x:c r="D30" s="9"/>
      <x:c r="E30" s="9"/>
      <x:c r="F30" s="9"/>
      <x:c r="G30" s="9"/>
      <x:c r="H30" s="9"/>
      <x:c r="I30" s="9"/>
      <x:c r="J30" s="9"/>
      <x:c r="K30" s="9"/>
    </x:row>
    <x:row r="31" ht="26" customHeight="1">
      <x:c r="A31" s="24" t="str">
        <x:v>Портфель</x:v>
      </x:c>
      <x:c r="B31" s="24" t="str">
        <x:v>Эконом</x:v>
      </x:c>
      <x:c r="C31" s="24" t="str">
        <x:v>Стандарт</x:v>
      </x:c>
      <x:c r="D31" s="21" t="str">
        <x:v>Люкс</x:v>
      </x:c>
      <x:c r="F31" s="21" t="str">
        <x:v>Сценарий</x:v>
      </x:c>
      <x:c r="G31" s="22" t="str">
        <x:v>Occ adj</x:v>
      </x:c>
      <x:c r="H31" s="22" t="str">
        <x:v>ADR mult</x:v>
      </x:c>
      <x:c r="I31" s="22" t="str">
        <x:v>Extras adj</x:v>
      </x:c>
      <x:c r="J31" s="22" t="str">
        <x:v>Direct share</x:v>
      </x:c>
      <x:c r="K31" s="22" t="str">
        <x:v>Marketing</x:v>
      </x:c>
      <x:c r="L31" s="23" t="str">
        <x:v>Utilities</x:v>
      </x:c>
    </x:row>
    <x:row r="32">
      <x:c r="A32" s="25" t="n">
        <x:v>4</x:v>
      </x:c>
      <x:c r="B32" s="25" t="n">
        <x:v>1</x:v>
      </x:c>
      <x:c r="C32" s="25" t="n">
        <x:v>2</x:v>
      </x:c>
      <x:c r="D32" s="26" t="n">
        <x:v>1</x:v>
      </x:c>
      <x:c r="F32" s="11" t="str">
        <x:v>Downside</x:v>
      </x:c>
      <x:c r="G32" s="13" t="n">
        <x:v>-0.09</x:v>
      </x:c>
      <x:c r="H32" s="27" t="n">
        <x:v>0.92</x:v>
      </x:c>
      <x:c r="I32" s="13" t="n">
        <x:v>-0.05</x:v>
      </x:c>
      <x:c r="J32" s="13" t="n">
        <x:v>0.4</x:v>
      </x:c>
      <x:c r="K32" s="13" t="n">
        <x:v>0.075</x:v>
      </x:c>
      <x:c r="L32" s="27" t="n">
        <x:v>1.2</x:v>
      </x:c>
    </x:row>
    <x:row r="33">
      <x:c r="A33" s="25" t="n">
        <x:v>9</x:v>
      </x:c>
      <x:c r="B33" s="25" t="n">
        <x:v>2</x:v>
      </x:c>
      <x:c r="C33" s="25" t="n">
        <x:v>5</x:v>
      </x:c>
      <x:c r="D33" s="26" t="n">
        <x:v>2</x:v>
      </x:c>
      <x:c r="F33" s="11" t="str">
        <x:v>Base</x:v>
      </x:c>
      <x:c r="G33" s="13" t="n">
        <x:v>0</x:v>
      </x:c>
      <x:c r="H33" s="27" t="n">
        <x:v>1</x:v>
      </x:c>
      <x:c r="I33" s="13" t="n">
        <x:v>0</x:v>
      </x:c>
      <x:c r="J33" s="13" t="n">
        <x:v>0.55</x:v>
      </x:c>
      <x:c r="K33" s="13" t="n">
        <x:v>0.052</x:v>
      </x:c>
      <x:c r="L33" s="27" t="n">
        <x:v>1</x:v>
      </x:c>
    </x:row>
    <x:row r="34">
      <x:c r="A34" s="25" t="n">
        <x:v>20</x:v>
      </x:c>
      <x:c r="B34" s="25" t="n">
        <x:v>4</x:v>
      </x:c>
      <x:c r="C34" s="25" t="n">
        <x:v>12</x:v>
      </x:c>
      <x:c r="D34" s="26" t="n">
        <x:v>4</x:v>
      </x:c>
      <x:c r="F34" s="11" t="str">
        <x:v>Upside</x:v>
      </x:c>
      <x:c r="G34" s="13" t="n">
        <x:v>0.075</x:v>
      </x:c>
      <x:c r="H34" s="27" t="n">
        <x:v>1.1</x:v>
      </x:c>
      <x:c r="I34" s="13" t="n">
        <x:v>0.06</x:v>
      </x:c>
      <x:c r="J34" s="13" t="n">
        <x:v>0.68</x:v>
      </x:c>
      <x:c r="K34" s="13" t="n">
        <x:v>0.042</x:v>
      </x:c>
      <x:c r="L34" s="27" t="n">
        <x:v>0.96</x:v>
      </x:c>
    </x:row>
    <x:row r="36" ht="22" customHeight="1">
      <x:c r="A36" s="9" t="str">
        <x:v>Драйверы эксплуатационных затрат</x:v>
      </x:c>
      <x:c r="B36" s="9"/>
      <x:c r="C36" s="9"/>
      <x:c r="D36" s="9"/>
      <x:c r="E36" s="9"/>
      <x:c r="F36" s="9"/>
      <x:c r="G36" s="9"/>
      <x:c r="H36" s="9"/>
      <x:c r="I36" s="9"/>
      <x:c r="J36" s="9"/>
      <x:c r="K36" s="9"/>
    </x:row>
    <x:row r="37" ht="26" customHeight="1">
      <x:c r="A37" s="21" t="str">
        <x:v>Месяц</x:v>
      </x:c>
      <x:c r="B37" s="22" t="str">
        <x:v>Occ index</x:v>
      </x:c>
      <x:c r="C37" s="22" t="str">
        <x:v>ADR index</x:v>
      </x:c>
      <x:c r="D37" s="22" t="str">
        <x:v>Heat index</x:v>
      </x:c>
      <x:c r="E37" s="23" t="str">
        <x:v>Ramp penalty</x:v>
      </x:c>
      <x:c r="G37" s="21" t="str">
        <x:v>Драйвер</x:v>
      </x:c>
      <x:c r="H37" s="22" t="str">
        <x:v>Значение</x:v>
      </x:c>
      <x:c r="I37" s="23" t="str">
        <x:v>Ед.</x:v>
      </x:c>
    </x:row>
    <x:row r="38">
      <x:c r="A38" t="n">
        <x:v>1</x:v>
      </x:c>
      <x:c r="B38" s="13" t="n">
        <x:v>0.42</x:v>
      </x:c>
      <x:c r="C38" s="27" t="n">
        <x:v>0.88</x:v>
      </x:c>
      <x:c r="D38" s="27" t="n">
        <x:v>1.55</x:v>
      </x:c>
      <x:c r="E38" s="13" t="n">
        <x:v>0.15</x:v>
      </x:c>
      <x:c r="G38" t="str">
        <x:v>Переменный клининг / sold night</x:v>
      </x:c>
      <x:c r="H38" s="116" t="n">
        <x:v>1050</x:v>
      </x:c>
      <x:c r="I38" t="str">
        <x:v>₽/ночь</x:v>
      </x:c>
    </x:row>
    <x:row r="39">
      <x:c r="A39" t="n">
        <x:v>2</x:v>
      </x:c>
      <x:c r="B39" s="13" t="n">
        <x:v>0.45</x:v>
      </x:c>
      <x:c r="C39" s="27" t="n">
        <x:v>0.9</x:v>
      </x:c>
      <x:c r="D39" s="27" t="n">
        <x:v>1.45</x:v>
      </x:c>
      <x:c r="E39" s="13" t="n">
        <x:v>0.12</x:v>
      </x:c>
      <x:c r="G39" t="str">
        <x:v>Прачечная / sold night</x:v>
      </x:c>
      <x:c r="H39" s="116" t="n">
        <x:v>430</x:v>
      </x:c>
      <x:c r="I39" t="str">
        <x:v>₽/ночь</x:v>
      </x:c>
    </x:row>
    <x:row r="40">
      <x:c r="A40" t="n">
        <x:v>3</x:v>
      </x:c>
      <x:c r="B40" s="13" t="n">
        <x:v>0.49</x:v>
      </x:c>
      <x:c r="C40" s="27" t="n">
        <x:v>0.93</x:v>
      </x:c>
      <x:c r="D40" s="27" t="n">
        <x:v>1.2</x:v>
      </x:c>
      <x:c r="E40" s="13" t="n">
        <x:v>0.09</x:v>
      </x:c>
      <x:c r="G40" t="str">
        <x:v>Замена белья / sold night</x:v>
      </x:c>
      <x:c r="H40" s="116" t="n">
        <x:v>180</x:v>
      </x:c>
      <x:c r="I40" t="str">
        <x:v>₽/ночь</x:v>
      </x:c>
    </x:row>
    <x:row r="41">
      <x:c r="A41" t="n">
        <x:v>4</x:v>
      </x:c>
      <x:c r="B41" s="13" t="n">
        <x:v>0.53</x:v>
      </x:c>
      <x:c r="C41" s="27" t="n">
        <x:v>0.97</x:v>
      </x:c>
      <x:c r="D41" s="27" t="n">
        <x:v>0.82</x:v>
      </x:c>
      <x:c r="E41" s="13" t="n">
        <x:v>0.06</x:v>
      </x:c>
      <x:c r="G41" t="str">
        <x:v>Зубной набор / sold night</x:v>
      </x:c>
      <x:c r="H41" s="116" t="n">
        <x:v>80</x:v>
      </x:c>
      <x:c r="I41" t="str">
        <x:v>₽/ночь</x:v>
      </x:c>
    </x:row>
    <x:row r="42">
      <x:c r="A42" t="n">
        <x:v>5</x:v>
      </x:c>
      <x:c r="B42" s="13" t="n">
        <x:v>0.58</x:v>
      </x:c>
      <x:c r="C42" s="27" t="n">
        <x:v>1.01</x:v>
      </x:c>
      <x:c r="D42" s="27" t="n">
        <x:v>0.35</x:v>
      </x:c>
      <x:c r="E42" s="13" t="n">
        <x:v>0.03</x:v>
      </x:c>
      <x:c r="G42" t="str">
        <x:v>Шампунь/гель / sold night</x:v>
      </x:c>
      <x:c r="H42" s="116" t="n">
        <x:v>90</x:v>
      </x:c>
      <x:c r="I42" t="str">
        <x:v>₽/ночь</x:v>
      </x:c>
    </x:row>
    <x:row r="43">
      <x:c r="A43" t="n">
        <x:v>6</x:v>
      </x:c>
      <x:c r="B43" s="13" t="n">
        <x:v>0.67</x:v>
      </x:c>
      <x:c r="C43" s="27" t="n">
        <x:v>1.12</x:v>
      </x:c>
      <x:c r="D43" s="27" t="n">
        <x:v>0.12</x:v>
      </x:c>
      <x:c r="E43" s="13" t="n">
        <x:v>0</x:v>
      </x:c>
      <x:c r="G43" t="str">
        <x:v>Тапочки / sold night</x:v>
      </x:c>
      <x:c r="H43" s="116" t="n">
        <x:v>70</x:v>
      </x:c>
      <x:c r="I43" t="str">
        <x:v>₽/ночь</x:v>
      </x:c>
    </x:row>
    <x:row r="44">
      <x:c r="A44" t="n">
        <x:v>7</x:v>
      </x:c>
      <x:c r="B44" s="13" t="n">
        <x:v>0.73</x:v>
      </x:c>
      <x:c r="C44" s="27" t="n">
        <x:v>1.2</x:v>
      </x:c>
      <x:c r="D44" s="27" t="n">
        <x:v>0.08</x:v>
      </x:c>
      <x:c r="E44" s="13" t="n">
        <x:v>0</x:v>
      </x:c>
      <x:c r="G44" t="str">
        <x:v>Прочие amenities / sold night</x:v>
      </x:c>
      <x:c r="H44" s="116" t="n">
        <x:v>100</x:v>
      </x:c>
      <x:c r="I44" t="str">
        <x:v>₽/ночь</x:v>
      </x:c>
    </x:row>
    <x:row r="45">
      <x:c r="A45" t="n">
        <x:v>8</x:v>
      </x:c>
      <x:c r="B45" s="13" t="n">
        <x:v>0.69</x:v>
      </x:c>
      <x:c r="C45" s="27" t="n">
        <x:v>1.16</x:v>
      </x:c>
      <x:c r="D45" s="27" t="n">
        <x:v>0.1</x:v>
      </x:c>
      <x:c r="E45" s="13" t="n">
        <x:v>0</x:v>
      </x:c>
      <x:c r="G45" t="str">
        <x:v>ФОТ клининг base</x:v>
      </x:c>
      <x:c r="H45" s="116" t="n">
        <x:v>120000</x:v>
      </x:c>
      <x:c r="I45" t="str">
        <x:v>₽/мес</x:v>
      </x:c>
    </x:row>
    <x:row r="46">
      <x:c r="A46" t="n">
        <x:v>9</x:v>
      </x:c>
      <x:c r="B46" s="13" t="n">
        <x:v>0.61</x:v>
      </x:c>
      <x:c r="C46" s="27" t="n">
        <x:v>1.04</x:v>
      </x:c>
      <x:c r="D46" s="27" t="n">
        <x:v>0.35</x:v>
      </x:c>
      <x:c r="E46" s="13" t="n">
        <x:v>0</x:v>
      </x:c>
      <x:c r="G46" t="str">
        <x:v>ФОТ клининг / дом</x:v>
      </x:c>
      <x:c r="H46" s="116" t="n">
        <x:v>15000</x:v>
      </x:c>
      <x:c r="I46" t="str">
        <x:v>₽/мес</x:v>
      </x:c>
    </x:row>
    <x:row r="47">
      <x:c r="A47" t="n">
        <x:v>10</x:v>
      </x:c>
      <x:c r="B47" s="13" t="n">
        <x:v>0.55</x:v>
      </x:c>
      <x:c r="C47" s="27" t="n">
        <x:v>0.98</x:v>
      </x:c>
      <x:c r="D47" s="27" t="n">
        <x:v>0.8</x:v>
      </x:c>
      <x:c r="E47" s="13" t="n">
        <x:v>0</x:v>
      </x:c>
      <x:c r="G47" t="str">
        <x:v>ФОТ ресепшн/продажи base</x:v>
      </x:c>
      <x:c r="H47" s="116" t="n">
        <x:v>245000</x:v>
      </x:c>
      <x:c r="I47" t="str">
        <x:v>₽/мес</x:v>
      </x:c>
    </x:row>
    <x:row r="48">
      <x:c r="A48" t="n">
        <x:v>11</x:v>
      </x:c>
      <x:c r="B48" s="13" t="n">
        <x:v>0.49</x:v>
      </x:c>
      <x:c r="C48" s="27" t="n">
        <x:v>0.92</x:v>
      </x:c>
      <x:c r="D48" s="27" t="n">
        <x:v>1.25</x:v>
      </x:c>
      <x:c r="E48" s="13" t="n">
        <x:v>0</x:v>
      </x:c>
      <x:c r="G48" t="str">
        <x:v>ФОТ ресепшн / дом сверх 7</x:v>
      </x:c>
      <x:c r="H48" s="116" t="n">
        <x:v>4000</x:v>
      </x:c>
      <x:c r="I48" t="str">
        <x:v>₽/мес</x:v>
      </x:c>
    </x:row>
    <x:row r="49">
      <x:c r="A49" t="n">
        <x:v>12</x:v>
      </x:c>
      <x:c r="B49" s="13" t="n">
        <x:v>0.63</x:v>
      </x:c>
      <x:c r="C49" s="27" t="n">
        <x:v>1.13</x:v>
      </x:c>
      <x:c r="D49" s="27" t="n">
        <x:v>1.55</x:v>
      </x:c>
      <x:c r="E49" s="13" t="n">
        <x:v>0</x:v>
      </x:c>
      <x:c r="G49" t="str">
        <x:v>ФОТ охрана</x:v>
      </x:c>
      <x:c r="H49" s="116" t="n">
        <x:v>190000</x:v>
      </x:c>
      <x:c r="I49" t="str">
        <x:v>₽/мес</x:v>
      </x:c>
    </x:row>
    <x:row r="50">
      <x:c r="G50" t="str">
        <x:v>ФОТ управление</x:v>
      </x:c>
      <x:c r="H50" s="116" t="n">
        <x:v>190000</x:v>
      </x:c>
      <x:c r="I50" t="str">
        <x:v>₽/мес</x:v>
      </x:c>
    </x:row>
    <x:row r="51">
      <x:c r="G51" t="str">
        <x:v>Начисления на ФОТ proxy</x:v>
      </x:c>
      <x:c r="H51" s="118" t="n">
        <x:v>0.3</x:v>
      </x:c>
      <x:c r="I51" t="str">
        <x:v>%</x:v>
      </x:c>
    </x:row>
    <x:row r="52">
      <x:c r="G52" t="str">
        <x:v>Электричество base / available night</x:v>
      </x:c>
      <x:c r="H52" s="116" t="n">
        <x:v>230</x:v>
      </x:c>
      <x:c r="I52" t="str">
        <x:v>₽/ночь</x:v>
      </x:c>
    </x:row>
    <x:row r="53">
      <x:c r="G53" t="str">
        <x:v>Электричество occupied / sold night</x:v>
      </x:c>
      <x:c r="H53" s="116" t="n">
        <x:v>300</x:v>
      </x:c>
      <x:c r="I53" t="str">
        <x:v>₽/ночь</x:v>
      </x:c>
    </x:row>
    <x:row r="54">
      <x:c r="G54" t="str">
        <x:v>Отопление / sold night × heat</x:v>
      </x:c>
      <x:c r="H54" s="116" t="n">
        <x:v>650</x:v>
      </x:c>
      <x:c r="I54" t="str">
        <x:v>₽/ночь</x:v>
      </x:c>
    </x:row>
    <x:row r="55">
      <x:c r="G55" t="str">
        <x:v>Прачечная utility / sold night</x:v>
      </x:c>
      <x:c r="H55" s="116" t="n">
        <x:v>90</x:v>
      </x:c>
      <x:c r="I55" t="str">
        <x:v>₽/ночь</x:v>
      </x:c>
    </x:row>
    <x:row r="56">
      <x:c r="G56" t="str">
        <x:v>Вода/канализация / sold night</x:v>
      </x:c>
      <x:c r="H56" s="116" t="n">
        <x:v>220</x:v>
      </x:c>
      <x:c r="I56" t="str">
        <x:v>₽/ночь</x:v>
      </x:c>
    </x:row>
    <x:row r="57">
      <x:c r="G57" t="str">
        <x:v>Наружное освещение</x:v>
      </x:c>
      <x:c r="H57" s="116" t="n">
        <x:v>45000</x:v>
      </x:c>
      <x:c r="I57" t="str">
        <x:v>₽/мес</x:v>
      </x:c>
    </x:row>
    <x:row r="58">
      <x:c r="G58" t="str">
        <x:v>Территория</x:v>
      </x:c>
      <x:c r="H58" s="116" t="n">
        <x:v>95000</x:v>
      </x:c>
      <x:c r="I58" t="str">
        <x:v>₽/мес</x:v>
      </x:c>
    </x:row>
    <x:row r="59">
      <x:c r="G59" t="str">
        <x:v>Вывоз отходов</x:v>
      </x:c>
      <x:c r="H59" s="116" t="n">
        <x:v>30000</x:v>
      </x:c>
      <x:c r="I59" t="str">
        <x:v>₽/мес</x:v>
      </x:c>
    </x:row>
    <x:row r="60">
      <x:c r="G60" t="str">
        <x:v>Пест-контроль</x:v>
      </x:c>
      <x:c r="H60" s="116" t="n">
        <x:v>10000</x:v>
      </x:c>
      <x:c r="I60" t="str">
        <x:v>₽/мес</x:v>
      </x:c>
    </x:row>
    <x:row r="61">
      <x:c r="G61" t="str">
        <x:v>Ремонтный резерв</x:v>
      </x:c>
      <x:c r="H61" s="118" t="n">
        <x:v>0.02</x:v>
      </x:c>
      <x:c r="I61" t="str">
        <x:v>% выручки</x:v>
      </x:c>
    </x:row>
    <x:row r="62">
      <x:c r="G62" t="str">
        <x:v>Страхование</x:v>
      </x:c>
      <x:c r="H62" s="116" t="n">
        <x:v>30000</x:v>
      </x:c>
      <x:c r="I62" t="str">
        <x:v>₽/мес</x:v>
      </x:c>
    </x:row>
    <x:row r="63">
      <x:c r="G63" t="str">
        <x:v>Бухгалтерия/юристы</x:v>
      </x:c>
      <x:c r="H63" s="116" t="n">
        <x:v>45000</x:v>
      </x:c>
      <x:c r="I63" t="str">
        <x:v>₽/мес</x:v>
      </x:c>
    </x:row>
    <x:row r="64">
      <x:c r="G64" t="str">
        <x:v>Банк/касса</x:v>
      </x:c>
      <x:c r="H64" s="116" t="n">
        <x:v>15000</x:v>
      </x:c>
      <x:c r="I64" t="str">
        <x:v>₽/мес</x:v>
      </x:c>
    </x:row>
    <x:row r="65">
      <x:c r="G65" t="str">
        <x:v>VPS/SMS/email</x:v>
      </x:c>
      <x:c r="H65" s="116" t="n">
        <x:v>25000</x:v>
      </x:c>
      <x:c r="I65" t="str">
        <x:v>₽/мес</x:v>
      </x:c>
    </x:row>
    <x:row r="66">
      <x:c r="G66" t="str">
        <x:v>PMS/ПО</x:v>
      </x:c>
      <x:c r="H66" s="116" t="n">
        <x:v>20000</x:v>
      </x:c>
      <x:c r="I66" t="str">
        <x:v>₽/мес</x:v>
      </x:c>
    </x:row>
    <x:row r="67">
      <x:c r="G67" t="str">
        <x:v>Офис/транспорт</x:v>
      </x:c>
      <x:c r="H67" s="116" t="n">
        <x:v>25000</x:v>
      </x:c>
      <x:c r="I67" t="str">
        <x:v>₽/мес</x:v>
      </x:c>
    </x:row>
    <x:row r="68">
      <x:c r="G68" t="str">
        <x:v>Food products</x:v>
      </x:c>
      <x:c r="H68" s="118" t="n">
        <x:v>0.38</x:v>
      </x:c>
      <x:c r="I68" t="str">
        <x:v>% food revenue</x:v>
      </x:c>
    </x:row>
    <x:row r="69">
      <x:c r="G69" t="str">
        <x:v>Food packaging</x:v>
      </x:c>
      <x:c r="H69" s="118" t="n">
        <x:v>0.05</x:v>
      </x:c>
      <x:c r="I69" t="str">
        <x:v>% food revenue</x:v>
      </x:c>
    </x:row>
    <x:row r="70">
      <x:c r="G70" t="str">
        <x:v>Food delivery</x:v>
      </x:c>
      <x:c r="H70" s="118" t="n">
        <x:v>0.03</x:v>
      </x:c>
      <x:c r="I70" t="str">
        <x:v>% food revenue</x:v>
      </x:c>
    </x:row>
    <x:row r="71">
      <x:c r="G71" t="str">
        <x:v>Food waste</x:v>
      </x:c>
      <x:c r="H71" s="118" t="n">
        <x:v>0.02</x:v>
      </x:c>
      <x:c r="I71" t="str">
        <x:v>% food revenue</x:v>
      </x:c>
    </x:row>
    <x:row r="72">
      <x:c r="G72" t="str">
        <x:v>Bath firewood</x:v>
      </x:c>
      <x:c r="H72" s="118" t="n">
        <x:v>0.15</x:v>
      </x:c>
      <x:c r="I72" t="str">
        <x:v>% bath revenue</x:v>
      </x:c>
    </x:row>
    <x:row r="73">
      <x:c r="B73" t="n">
        <x:v>0.37694361551751215</x:v>
      </x:c>
      <x:c r="G73" t="str">
        <x:v>Tub firewood</x:v>
      </x:c>
      <x:c r="H73" s="118" t="n">
        <x:v>0.22</x:v>
      </x:c>
      <x:c r="I73" t="str">
        <x:v>% tub revenue</x:v>
      </x:c>
    </x:row>
    <x:row r="74">
      <x:c r="B74" t="n">
        <x:v>0.4710194108863852</x:v>
      </x:c>
      <x:c r="G74" t="str">
        <x:v>Bath water/chem</x:v>
      </x:c>
      <x:c r="H74" s="118" t="n">
        <x:v>0.05</x:v>
      </x:c>
      <x:c r="I74" t="str">
        <x:v>% bath revenue</x:v>
      </x:c>
    </x:row>
    <x:row r="75">
      <x:c r="B75" t="n">
        <x:v>0.46</x:v>
      </x:c>
      <x:c r="G75" t="str">
        <x:v>Tub water/chem</x:v>
      </x:c>
      <x:c r="H75" s="118" t="n">
        <x:v>0.06</x:v>
      </x:c>
      <x:c r="I75" t="str">
        <x:v>% tub revenue</x:v>
      </x:c>
    </x:row>
    <x:row r="76">
      <x:c r="B76" t="n">
        <x:v>0.18</x:v>
      </x:c>
      <x:c r="G76" t="str">
        <x:v>Bath textile/clean</x:v>
      </x:c>
      <x:c r="H76" s="118" t="n">
        <x:v>0.08</x:v>
      </x:c>
      <x:c r="I76" t="str">
        <x:v>% bath revenue</x:v>
      </x:c>
    </x:row>
    <x:row r="77">
      <x:c r="B77" t="n">
        <x:v>0.3</x:v>
      </x:c>
      <x:c r="G77" t="str">
        <x:v>Tub textile/clean</x:v>
      </x:c>
      <x:c r="H77" s="118" t="n">
        <x:v>0.06</x:v>
      </x:c>
      <x:c r="I77" t="str">
        <x:v>% tub revenue</x:v>
      </x:c>
    </x:row>
    <x:row r="78">
      <x:c r="B78" t="n">
        <x:v>0.22</x:v>
      </x:c>
      <x:c r="G78" t="str">
        <x:v>Other services cost</x:v>
      </x:c>
      <x:c r="H78" s="118" t="n">
        <x:v>0.18</x:v>
      </x:c>
      <x:c r="I78" t="str">
        <x:v>% other revenue</x:v>
      </x:c>
    </x:row>
    <x:row r="79">
      <x:c r="B79" t="n">
        <x:v>0.12</x:v>
      </x:c>
    </x:row>
    <x:row r="80">
      <x:c r="B80" t="n">
        <x:v>0.18</x:v>
      </x:c>
    </x:row>
  </x:sheetData>
  <x:mergeCells>
    <x:mergeCell ref="A1:K1"/>
    <x:mergeCell ref="A2:K2"/>
    <x:mergeCell ref="A4:D4"/>
    <x:mergeCell ref="A30:D30"/>
    <x:mergeCell ref="A30:K30"/>
    <x:mergeCell ref="A36:D36"/>
    <x:mergeCell ref="A36:K36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9" hidden="0" customWidth="1"/>
    <x:col min="2" max="2" width="24" hidden="0" customWidth="1"/>
    <x:col min="3" max="3" width="42" hidden="0" customWidth="1"/>
    <x:col min="4" max="4" width="18" hidden="0" customWidth="1"/>
    <x:col min="5" max="5" width="11" hidden="0" customWidth="1"/>
    <x:col min="6" max="6" width="14" hidden="0" customWidth="1"/>
    <x:col min="7" max="7" width="16" hidden="0" customWidth="1"/>
    <x:col min="8" max="8" width="18" hidden="0" customWidth="1"/>
    <x:col min="9" max="9" width="18" hidden="0" customWidth="1"/>
    <x:col min="10" max="10" width="11" hidden="0" customWidth="1"/>
    <x:col min="11" max="11" width="48" hidden="0" customWidth="1"/>
  </x:cols>
  <x:sheetData>
    <x:row r="1" ht="32" customHeight="1">
      <x:c r="A1" s="4" t="str">
        <x:v>Build CAPEX — детальная стоимость застройки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78"/>
      <x:c r="M1" s="78"/>
      <x:c r="N1" s="78"/>
      <x:c r="O1" s="78"/>
      <x:c r="P1" s="78"/>
      <x:c r="Q1" s="78"/>
      <x:c r="R1" s="78"/>
      <x:c r="S1" s="78"/>
      <x:c r="T1" s="78"/>
      <x:c r="U1" s="78"/>
      <x:c r="V1" s="78"/>
      <x:c r="W1" s="78"/>
      <x:c r="X1" s="78"/>
      <x:c r="Y1" s="78"/>
      <x:c r="Z1" s="78"/>
      <x:c r="AA1" s="78"/>
      <x:c r="AB1" s="78"/>
      <x:c r="AC1" s="78"/>
      <x:c r="AD1" s="78"/>
      <x:c r="AE1" s="78"/>
      <x:c r="AF1" s="78"/>
      <x:c r="AG1" s="78"/>
      <x:c r="AH1" s="78"/>
      <x:c r="AI1" s="78"/>
      <x:c r="AJ1" s="78"/>
      <x:c r="AK1" s="78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Без земли. Публичные цены поставщиков отделены от допущений/RFQ. Все суммы в рублях.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80"/>
      <x:c r="M2" s="80"/>
      <x:c r="N2" s="80"/>
      <x:c r="O2" s="80"/>
      <x:c r="P2" s="80"/>
      <x:c r="Q2" s="80"/>
      <x:c r="R2" s="80"/>
      <x:c r="S2" s="80"/>
      <x:c r="T2" s="80"/>
      <x:c r="U2" s="80"/>
      <x:c r="V2" s="80"/>
      <x:c r="W2" s="80"/>
      <x:c r="X2" s="80"/>
      <x:c r="Y2" s="80"/>
      <x:c r="Z2" s="80"/>
      <x:c r="AA2" s="80"/>
      <x:c r="AB2" s="80"/>
      <x:c r="AC2" s="80"/>
      <x:c r="AD2" s="80"/>
      <x:c r="AE2" s="80"/>
      <x:c r="AF2" s="80"/>
      <x:c r="AG2" s="80"/>
      <x:c r="AH2" s="80"/>
      <x:c r="AI2" s="80"/>
      <x:c r="AJ2" s="80"/>
      <x:c r="AK2" s="80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 ht="26" customHeight="1">
      <x:c r="A4" s="81" t="str">
        <x:v>Код</x:v>
      </x:c>
      <x:c r="B4" s="82" t="str">
        <x:v>Раздел</x:v>
      </x:c>
      <x:c r="C4" s="82" t="str">
        <x:v>Статья</x:v>
      </x:c>
      <x:c r="D4" s="82" t="str">
        <x:v>Драйвер</x:v>
      </x:c>
      <x:c r="E4" s="82" t="str">
        <x:v>Кол-во</x:v>
      </x:c>
      <x:c r="F4" s="82" t="str">
        <x:v>Ед.</x:v>
      </x:c>
      <x:c r="G4" s="82" t="str">
        <x:v>Цена за ед.</x:v>
      </x:c>
      <x:c r="H4" s="82" t="str">
        <x:v>Сумма</x:v>
      </x:c>
      <x:c r="I4" s="82" t="str">
        <x:v>Статус</x:v>
      </x:c>
      <x:c r="J4" s="82" t="str">
        <x:v>Старт, мес.</x:v>
      </x:c>
      <x:c r="K4" s="83" t="str">
        <x:v>Источник</x:v>
      </x:c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>
      <x:c r="A5" s="84" t="str">
        <x:v>A01</x:v>
      </x:c>
      <x:c r="B5" s="85" t="str">
        <x:v>Гостевые модули</x:v>
      </x:c>
      <x:c r="C5" s="86" t="str">
        <x:v>Дом MODERN 42,5 · Эконом</x:v>
      </x:c>
      <x:c r="D5" s="85" t="str">
        <x:v>econom</x:v>
      </x:c>
      <x:c r="E5" s="87" t="n">
        <x:f>INDEX('Assumptions'!$B$32:$B$34,MATCH('Assumptions'!$B$5,'Assumptions'!$A$32:$A$34,0))</x:f>
        <x:v>2</x:v>
      </x:c>
      <x:c r="F5" s="85" t="str">
        <x:v>шт.</x:v>
      </x:c>
      <x:c r="G5" s="121" t="n">
        <x:v>1930000</x:v>
      </x:c>
      <x:c r="H5" s="89" t="n">
        <x:f>E5*G5</x:f>
        <x:v>3860000</x:v>
      </x:c>
      <x:c r="I5" s="85" t="str">
        <x:v>PUBLIC PRICE</x:v>
      </x:c>
      <x:c r="J5" s="85" t="n">
        <x:v>5</x:v>
      </x:c>
      <x:c r="K5" s="90" t="str">
        <x:v>https://dp-m.ru/modern/tproduct/644444137-820338274761-modern-425</x:v>
      </x:c>
      <x:c r="L5" s="80"/>
      <x:c r="M5" s="80"/>
      <x:c r="N5" s="80"/>
      <x:c r="O5" s="80"/>
      <x:c r="P5" s="80"/>
      <x:c r="Q5" s="80"/>
      <x:c r="R5" s="80"/>
      <x:c r="S5" s="80"/>
      <x:c r="T5" s="80"/>
      <x:c r="U5" s="80"/>
      <x:c r="V5" s="80"/>
      <x:c r="W5" s="80"/>
      <x:c r="X5" s="80"/>
      <x:c r="Y5" s="80"/>
      <x:c r="Z5" s="80"/>
      <x:c r="AA5" s="80"/>
      <x:c r="AB5" s="80"/>
      <x:c r="AC5" s="80"/>
      <x:c r="AD5" s="80"/>
      <x:c r="AE5" s="80"/>
      <x:c r="AF5" s="80"/>
      <x:c r="AG5" s="80"/>
      <x:c r="AH5" s="80"/>
      <x:c r="AI5" s="80"/>
      <x:c r="AJ5" s="80"/>
      <x:c r="AK5" s="80"/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4" t="str">
        <x:v>A02</x:v>
      </x:c>
      <x:c r="B6" s="85" t="str">
        <x:v>Гостевые модули</x:v>
      </x:c>
      <x:c r="C6" s="86" t="str">
        <x:v>Дом MODERN 60 · Стандарт</x:v>
      </x:c>
      <x:c r="D6" s="85" t="str">
        <x:v>standard</x:v>
      </x:c>
      <x:c r="E6" s="87" t="n">
        <x:f>INDEX('Assumptions'!$C$32:$C$34,MATCH('Assumptions'!$B$5,'Assumptions'!$A$32:$A$34,0))</x:f>
        <x:v>5</x:v>
      </x:c>
      <x:c r="F6" s="85" t="str">
        <x:v>шт.</x:v>
      </x:c>
      <x:c r="G6" s="121" t="n">
        <x:v>2295000</x:v>
      </x:c>
      <x:c r="H6" s="89" t="n">
        <x:f>E6*G6</x:f>
        <x:v>11475000</x:v>
      </x:c>
      <x:c r="I6" s="85" t="str">
        <x:v>PUBLIC PRICE</x:v>
      </x:c>
      <x:c r="J6" s="85" t="n">
        <x:v>5</x:v>
      </x:c>
      <x:c r="K6" s="90" t="str">
        <x:v>https://dp-m.ru/modern/tproduct/644444137-833844620081-modern-60</x:v>
      </x:c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84" t="str">
        <x:v>A03</x:v>
      </x:c>
      <x:c r="B7" s="85" t="str">
        <x:v>Гостевые модули</x:v>
      </x:c>
      <x:c r="C7" s="86" t="str">
        <x:v>Дом MODERN 135 · Люкс</x:v>
      </x:c>
      <x:c r="D7" s="85" t="str">
        <x:v>lux</x:v>
      </x:c>
      <x:c r="E7" s="87" t="n">
        <x:f>INDEX('Assumptions'!$D$32:$D$34,MATCH('Assumptions'!$B$5,'Assumptions'!$A$32:$A$34,0))</x:f>
        <x:v>2</x:v>
      </x:c>
      <x:c r="F7" s="85" t="str">
        <x:v>шт.</x:v>
      </x:c>
      <x:c r="G7" s="121" t="n">
        <x:v>4900000</x:v>
      </x:c>
      <x:c r="H7" s="89" t="n">
        <x:f>E7*G7</x:f>
        <x:v>9800000</x:v>
      </x:c>
      <x:c r="I7" s="85" t="str">
        <x:v>PUBLIC PRICE</x:v>
      </x:c>
      <x:c r="J7" s="85" t="n">
        <x:v>5</x:v>
      </x:c>
      <x:c r="K7" s="90" t="str">
        <x:v>https://dp-m.ru/modern/tproduct/644444137-273720165962-modern-135</x:v>
      </x:c>
      <x:c r="L7" s="80"/>
      <x:c r="M7" s="80"/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84" t="str">
        <x:v>A04</x:v>
      </x:c>
      <x:c r="B8" s="85" t="str">
        <x:v>SPA-модули</x:v>
      </x:c>
      <x:c r="C8" s="86" t="str">
        <x:v>Баня Nord Modern 1 · Стандарт</x:v>
      </x:c>
      <x:c r="D8" s="85" t="str">
        <x:v>standard</x:v>
      </x:c>
      <x:c r="E8" s="87" t="n">
        <x:f>INDEX('Assumptions'!$C$32:$C$34,MATCH('Assumptions'!$B$5,'Assumptions'!$A$32:$A$34,0))</x:f>
        <x:v>5</x:v>
      </x:c>
      <x:c r="F8" s="85" t="str">
        <x:v>шт.</x:v>
      </x:c>
      <x:c r="G8" s="121" t="n">
        <x:v>1005000</x:v>
      </x:c>
      <x:c r="H8" s="89" t="n">
        <x:f>E8*G8</x:f>
        <x:v>5025000</x:v>
      </x:c>
      <x:c r="I8" s="85" t="str">
        <x:v>PUBLIC PRICE</x:v>
      </x:c>
      <x:c r="J8" s="85" t="n">
        <x:v>6</x:v>
      </x:c>
      <x:c r="K8" s="90" t="str">
        <x:v>https://dp-m.ru/nordmodern/tproduct/644834402-953653019151-nord-modern-1</x:v>
      </x:c>
      <x:c r="L8" s="80"/>
      <x:c r="M8" s="80"/>
      <x:c r="N8" s="80"/>
      <x:c r="O8" s="80"/>
      <x:c r="P8" s="80"/>
      <x:c r="Q8" s="80"/>
      <x:c r="R8" s="80"/>
      <x:c r="S8" s="80"/>
      <x:c r="T8" s="80"/>
      <x:c r="U8" s="80"/>
      <x:c r="V8" s="80"/>
      <x:c r="W8" s="80"/>
      <x:c r="X8" s="80"/>
      <x:c r="Y8" s="80"/>
      <x:c r="Z8" s="80"/>
      <x:c r="AA8" s="80"/>
      <x:c r="AB8" s="80"/>
      <x:c r="AC8" s="80"/>
      <x:c r="AD8" s="80"/>
      <x:c r="AE8" s="80"/>
      <x:c r="AF8" s="80"/>
      <x:c r="AG8" s="80"/>
      <x:c r="AH8" s="80"/>
      <x:c r="AI8" s="80"/>
      <x:c r="AJ8" s="80"/>
      <x:c r="AK8" s="80"/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84" t="str">
        <x:v>A05</x:v>
      </x:c>
      <x:c r="B9" s="85" t="str">
        <x:v>SPA-модули</x:v>
      </x:c>
      <x:c r="C9" s="86" t="str">
        <x:v>Баня Nord Skandi 3 · Люкс</x:v>
      </x:c>
      <x:c r="D9" s="85" t="str">
        <x:v>lux</x:v>
      </x:c>
      <x:c r="E9" s="87" t="n">
        <x:f>INDEX('Assumptions'!$D$32:$D$34,MATCH('Assumptions'!$B$5,'Assumptions'!$A$32:$A$34,0))</x:f>
        <x:v>2</x:v>
      </x:c>
      <x:c r="F9" s="85" t="str">
        <x:v>шт.</x:v>
      </x:c>
      <x:c r="G9" s="121" t="n">
        <x:v>1778000</x:v>
      </x:c>
      <x:c r="H9" s="89" t="n">
        <x:f>E9*G9</x:f>
        <x:v>3556000</x:v>
      </x:c>
      <x:c r="I9" s="85" t="str">
        <x:v>PUBLIC PRICE</x:v>
      </x:c>
      <x:c r="J9" s="85" t="n">
        <x:v>6</x:v>
      </x:c>
      <x:c r="K9" s="90" t="str">
        <x:v>https://dp-m.ru/bani-landing/tproduct/530557005-647187912901-nord-skandi-3</x:v>
      </x:c>
      <x:c r="L9" s="80"/>
      <x:c r="M9" s="80"/>
      <x:c r="N9" s="80"/>
      <x:c r="O9" s="80"/>
      <x:c r="P9" s="80"/>
      <x:c r="Q9" s="80"/>
      <x:c r="R9" s="80"/>
      <x:c r="S9" s="80"/>
      <x:c r="T9" s="80"/>
      <x:c r="U9" s="80"/>
      <x:c r="V9" s="80"/>
      <x:c r="W9" s="80"/>
      <x:c r="X9" s="80"/>
      <x:c r="Y9" s="80"/>
      <x:c r="Z9" s="80"/>
      <x:c r="AA9" s="80"/>
      <x:c r="AB9" s="80"/>
      <x:c r="AC9" s="80"/>
      <x:c r="AD9" s="80"/>
      <x:c r="AE9" s="80"/>
      <x:c r="AF9" s="80"/>
      <x:c r="AG9" s="80"/>
      <x:c r="AH9" s="80"/>
      <x:c r="AI9" s="80"/>
      <x:c r="AJ9" s="80"/>
      <x:c r="AK9" s="80"/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84" t="str">
        <x:v>A06</x:v>
      </x:c>
      <x:c r="B10" s="85" t="str">
        <x:v>SPA-модули</x:v>
      </x:c>
      <x:c r="C10" s="86" t="str">
        <x:v>Чан Junior · Эконом</x:v>
      </x:c>
      <x:c r="D10" s="85" t="str">
        <x:v>econom</x:v>
      </x:c>
      <x:c r="E10" s="87" t="n">
        <x:f>INDEX('Assumptions'!$B$32:$B$34,MATCH('Assumptions'!$B$5,'Assumptions'!$A$32:$A$34,0))</x:f>
        <x:v>2</x:v>
      </x:c>
      <x:c r="F10" s="85" t="str">
        <x:v>шт.</x:v>
      </x:c>
      <x:c r="G10" s="121" t="n">
        <x:v>145000</x:v>
      </x:c>
      <x:c r="H10" s="89" t="n">
        <x:f>E10*G10</x:f>
        <x:v>290000</x:v>
      </x:c>
      <x:c r="I10" s="85" t="str">
        <x:v>PUBLIC PRICE</x:v>
      </x:c>
      <x:c r="J10" s="85" t="n">
        <x:v>8</x:v>
      </x:c>
      <x:c r="K10" s="90" t="str">
        <x:v>https://r-chan.ru/junior</x:v>
      </x:c>
      <x:c r="L10" s="80"/>
      <x:c r="M10" s="80"/>
      <x:c r="N10" s="80"/>
      <x:c r="O10" s="80"/>
      <x:c r="P10" s="80"/>
      <x:c r="Q10" s="80"/>
      <x:c r="R10" s="80"/>
      <x:c r="S10" s="80"/>
      <x:c r="T10" s="80"/>
      <x:c r="U10" s="80"/>
      <x:c r="V10" s="80"/>
      <x:c r="W10" s="80"/>
      <x:c r="X10" s="80"/>
      <x:c r="Y10" s="80"/>
      <x:c r="Z10" s="80"/>
      <x:c r="AA10" s="80"/>
      <x:c r="AB10" s="80"/>
      <x:c r="AC10" s="80"/>
      <x:c r="AD10" s="80"/>
      <x:c r="AE10" s="80"/>
      <x:c r="AF10" s="80"/>
      <x:c r="AG10" s="80"/>
      <x:c r="AH10" s="80"/>
      <x:c r="AI10" s="80"/>
      <x:c r="AJ10" s="80"/>
      <x:c r="AK10" s="80"/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84" t="str">
        <x:v>A07</x:v>
      </x:c>
      <x:c r="B11" s="85" t="str">
        <x:v>SPA-модули</x:v>
      </x:c>
      <x:c r="C11" s="86" t="str">
        <x:v>Чан Standi · Стандарт/Люкс</x:v>
      </x:c>
      <x:c r="D11" s="85" t="str">
        <x:v>standard_lux</x:v>
      </x:c>
      <x:c r="E11" s="87" t="n">
        <x:f>INDEX('Assumptions'!$C$32:$C$34,MATCH('Assumptions'!$B$5,'Assumptions'!$A$32:$A$34,0))+INDEX('Assumptions'!$D$32:$D$34,MATCH('Assumptions'!$B$5,'Assumptions'!$A$32:$A$34,0))</x:f>
        <x:v>7</x:v>
      </x:c>
      <x:c r="F11" s="85" t="str">
        <x:v>шт.</x:v>
      </x:c>
      <x:c r="G11" s="121" t="n">
        <x:v>185000</x:v>
      </x:c>
      <x:c r="H11" s="89" t="n">
        <x:f>E11*G11</x:f>
        <x:v>1295000</x:v>
      </x:c>
      <x:c r="I11" s="85" t="str">
        <x:v>PUBLIC PRICE</x:v>
      </x:c>
      <x:c r="J11" s="85" t="n">
        <x:v>8</x:v>
      </x:c>
      <x:c r="K11" s="90" t="str">
        <x:v>https://r-chan.ru/standi</x:v>
      </x:c>
      <x:c r="L11" s="80"/>
      <x:c r="M11" s="80"/>
      <x:c r="N11" s="80"/>
      <x:c r="O11" s="80"/>
      <x:c r="P11" s="80"/>
      <x:c r="Q11" s="80"/>
      <x:c r="R11" s="80"/>
      <x:c r="S11" s="80"/>
      <x:c r="T11" s="80"/>
      <x:c r="U11" s="80"/>
      <x:c r="V11" s="80"/>
      <x:c r="W11" s="80"/>
      <x:c r="X11" s="80"/>
      <x:c r="Y11" s="80"/>
      <x:c r="Z11" s="80"/>
      <x:c r="AA11" s="80"/>
      <x:c r="AB11" s="80"/>
      <x:c r="AC11" s="80"/>
      <x:c r="AD11" s="80"/>
      <x:c r="AE11" s="80"/>
      <x:c r="AF11" s="80"/>
      <x:c r="AG11" s="80"/>
      <x:c r="AH11" s="80"/>
      <x:c r="AI11" s="80"/>
      <x:c r="AJ11" s="80"/>
      <x:c r="AK11" s="80"/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84" t="str">
        <x:v>A08</x:v>
      </x:c>
      <x:c r="B12" s="85" t="str">
        <x:v>SPA-модули</x:v>
      </x:c>
      <x:c r="C12" s="86" t="str">
        <x:v>Комплект аксессуаров чана</x:v>
      </x:c>
      <x:c r="D12" s="85" t="str">
        <x:v>all</x:v>
      </x:c>
      <x:c r="E12" s="87" t="n">
        <x:f>'Assumptions'!$B$5</x:f>
        <x:v>9</x:v>
      </x:c>
      <x:c r="F12" s="85" t="str">
        <x:v>компл.</x:v>
      </x:c>
      <x:c r="G12" s="121" t="n">
        <x:v>45000</x:v>
      </x:c>
      <x:c r="H12" s="89" t="n">
        <x:f>E12*G12</x:f>
        <x:v>405000</x:v>
      </x:c>
      <x:c r="I12" s="85" t="str">
        <x:v>ASSUMPTION</x:v>
      </x:c>
      <x:c r="J12" s="85" t="n">
        <x:v>9</x:v>
      </x:c>
      <x:c r="K12" s="90" t="str">
        <x:v>https://r-chan.ru/standi</x:v>
      </x:c>
      <x:c r="L12" s="80"/>
      <x:c r="M12" s="80"/>
      <x:c r="N12" s="80"/>
      <x:c r="O12" s="80"/>
      <x:c r="P12" s="80"/>
      <x:c r="Q12" s="80"/>
      <x:c r="R12" s="80"/>
      <x:c r="S12" s="80"/>
      <x:c r="T12" s="80"/>
      <x:c r="U12" s="80"/>
      <x:c r="V12" s="80"/>
      <x:c r="W12" s="80"/>
      <x:c r="X12" s="80"/>
      <x:c r="Y12" s="80"/>
      <x:c r="Z12" s="80"/>
      <x:c r="AA12" s="80"/>
      <x:c r="AB12" s="80"/>
      <x:c r="AC12" s="80"/>
      <x:c r="AD12" s="80"/>
      <x:c r="AE12" s="80"/>
      <x:c r="AF12" s="80"/>
      <x:c r="AG12" s="80"/>
      <x:c r="AH12" s="80"/>
      <x:c r="AI12" s="80"/>
      <x:c r="AJ12" s="80"/>
      <x:c r="AK12" s="80"/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>
      <x:c r="A13" s="84" t="str">
        <x:v>B01</x:v>
      </x:c>
      <x:c r="B13" s="85" t="str">
        <x:v>Доставка и монтаж</x:v>
      </x:c>
      <x:c r="C13" s="86" t="str">
        <x:v>Доставка, разгрузка и кран</x:v>
      </x:c>
      <x:c r="D13" s="85" t="str">
        <x:v>all</x:v>
      </x:c>
      <x:c r="E13" s="87" t="n">
        <x:f>'Assumptions'!$B$5</x:f>
        <x:v>9</x:v>
      </x:c>
      <x:c r="F13" s="85" t="str">
        <x:v>участок</x:v>
      </x:c>
      <x:c r="G13" s="121" t="n">
        <x:v>450000</x:v>
      </x:c>
      <x:c r="H13" s="89" t="n">
        <x:f>E13*G13</x:f>
        <x:v>4050000</x:v>
      </x:c>
      <x:c r="I13" s="85" t="str">
        <x:v>ASSUMPTION</x:v>
      </x:c>
      <x:c r="J13" s="85" t="n">
        <x:v>6</x:v>
      </x:c>
      <x:c r="K13" s="90" t="str">
        <x:v>RFQ REQUIRED</x:v>
      </x:c>
      <x:c r="L13" s="80"/>
      <x:c r="M13" s="80"/>
      <x:c r="N13" s="80"/>
      <x:c r="O13" s="80"/>
      <x:c r="P13" s="80"/>
      <x:c r="Q13" s="80"/>
      <x:c r="R13" s="80"/>
      <x:c r="S13" s="80"/>
      <x:c r="T13" s="80"/>
      <x:c r="U13" s="80"/>
      <x:c r="V13" s="80"/>
      <x:c r="W13" s="80"/>
      <x:c r="X13" s="80"/>
      <x:c r="Y13" s="80"/>
      <x:c r="Z13" s="80"/>
      <x:c r="AA13" s="80"/>
      <x:c r="AB13" s="80"/>
      <x:c r="AC13" s="80"/>
      <x:c r="AD13" s="80"/>
      <x:c r="AE13" s="80"/>
      <x:c r="AF13" s="80"/>
      <x:c r="AG13" s="80"/>
      <x:c r="AH13" s="80"/>
      <x:c r="AI13" s="80"/>
      <x:c r="AJ13" s="80"/>
      <x:c r="AK13" s="80"/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>
      <x:c r="A14" s="84" t="str">
        <x:v>B02</x:v>
      </x:c>
      <x:c r="B14" s="85" t="str">
        <x:v>Доставка и монтаж</x:v>
      </x:c>
      <x:c r="C14" s="86" t="str">
        <x:v>Свайное основание дома/бани</x:v>
      </x:c>
      <x:c r="D14" s="85" t="str">
        <x:v>all</x:v>
      </x:c>
      <x:c r="E14" s="87" t="n">
        <x:f>'Assumptions'!$B$5</x:f>
        <x:v>9</x:v>
      </x:c>
      <x:c r="F14" s="85" t="str">
        <x:v>участок</x:v>
      </x:c>
      <x:c r="G14" s="121" t="n">
        <x:v>420000</x:v>
      </x:c>
      <x:c r="H14" s="89" t="n">
        <x:f>E14*G14</x:f>
        <x:v>3780000</x:v>
      </x:c>
      <x:c r="I14" s="85" t="str">
        <x:v>ASSUMPTION</x:v>
      </x:c>
      <x:c r="J14" s="85" t="n">
        <x:v>4</x:v>
      </x:c>
      <x:c r="K14" s="90" t="str">
        <x:v>RFQ REQUIRED</x:v>
      </x:c>
      <x:c r="L14" s="80"/>
      <x:c r="M14" s="80"/>
      <x:c r="N14" s="80"/>
      <x:c r="O14" s="80"/>
      <x:c r="P14" s="80"/>
      <x:c r="Q14" s="80"/>
      <x:c r="R14" s="80"/>
      <x:c r="S14" s="80"/>
      <x:c r="T14" s="80"/>
      <x:c r="U14" s="80"/>
      <x:c r="V14" s="80"/>
      <x:c r="W14" s="80"/>
      <x:c r="X14" s="80"/>
      <x:c r="Y14" s="80"/>
      <x:c r="Z14" s="80"/>
      <x:c r="AA14" s="80"/>
      <x:c r="AB14" s="80"/>
      <x:c r="AC14" s="80"/>
      <x:c r="AD14" s="80"/>
      <x:c r="AE14" s="80"/>
      <x:c r="AF14" s="80"/>
      <x:c r="AG14" s="80"/>
      <x:c r="AH14" s="80"/>
      <x:c r="AI14" s="80"/>
      <x:c r="AJ14" s="80"/>
      <x:c r="AK14" s="80"/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  <x:row r="15">
      <x:c r="A15" s="84" t="str">
        <x:v>B03</x:v>
      </x:c>
      <x:c r="B15" s="85" t="str">
        <x:v>Доставка и монтаж</x:v>
      </x:c>
      <x:c r="C15" s="86" t="str">
        <x:v>Монтаж, герметизация и пусконаладка</x:v>
      </x:c>
      <x:c r="D15" s="85" t="str">
        <x:v>all</x:v>
      </x:c>
      <x:c r="E15" s="87" t="n">
        <x:f>'Assumptions'!$B$5</x:f>
        <x:v>9</x:v>
      </x:c>
      <x:c r="F15" s="85" t="str">
        <x:v>участок</x:v>
      </x:c>
      <x:c r="G15" s="121" t="n">
        <x:v>260000</x:v>
      </x:c>
      <x:c r="H15" s="89" t="n">
        <x:f>E15*G15</x:f>
        <x:v>2340000</x:v>
      </x:c>
      <x:c r="I15" s="85" t="str">
        <x:v>ASSUMPTION</x:v>
      </x:c>
      <x:c r="J15" s="85" t="n">
        <x:v>8</x:v>
      </x:c>
      <x:c r="K15" s="90" t="str">
        <x:v>RFQ REQUIRED</x:v>
      </x:c>
      <x:c r="L15" s="80"/>
      <x:c r="M15" s="80"/>
      <x:c r="N15" s="80"/>
      <x:c r="O15" s="80"/>
      <x:c r="P15" s="80"/>
      <x:c r="Q15" s="80"/>
      <x:c r="R15" s="80"/>
      <x:c r="S15" s="80"/>
      <x:c r="T15" s="80"/>
      <x:c r="U15" s="80"/>
      <x:c r="V15" s="80"/>
      <x:c r="W15" s="80"/>
      <x:c r="X15" s="80"/>
      <x:c r="Y15" s="80"/>
      <x:c r="Z15" s="80"/>
      <x:c r="AA15" s="80"/>
      <x:c r="AB15" s="80"/>
      <x:c r="AC15" s="80"/>
      <x:c r="AD15" s="80"/>
      <x:c r="AE15" s="80"/>
      <x:c r="AF15" s="80"/>
      <x:c r="AG15" s="80"/>
      <x:c r="AH15" s="80"/>
      <x:c r="AI15" s="80"/>
      <x:c r="AJ15" s="80"/>
      <x:c r="AK15" s="80"/>
      <x:c r="AL15" s="80"/>
      <x:c r="AM15" s="80"/>
      <x:c r="AN15" s="80"/>
      <x:c r="AO15" s="80"/>
      <x:c r="AP15" s="80"/>
      <x:c r="AQ15" s="80"/>
      <x:c r="AR15" s="80"/>
      <x:c r="AS15" s="80"/>
      <x:c r="AT15" s="80"/>
      <x:c r="AU15" s="80"/>
      <x:c r="AV15" s="80"/>
      <x:c r="AW15" s="80"/>
      <x:c r="AX15" s="80"/>
      <x:c r="AY15" s="80"/>
      <x:c r="AZ15" s="80"/>
    </x:row>
    <x:row r="16">
      <x:c r="A16" s="84" t="str">
        <x:v>C01</x:v>
      </x:c>
      <x:c r="B16" s="85" t="str">
        <x:v>FF&amp;E / OS&amp;E</x:v>
      </x:c>
      <x:c r="C16" s="86" t="str">
        <x:v>Procurement v0.2 · Эконом</x:v>
      </x:c>
      <x:c r="D16" s="85" t="str">
        <x:v>econom</x:v>
      </x:c>
      <x:c r="E16" s="87" t="n">
        <x:f>INDEX('Assumptions'!$B$32:$B$34,MATCH('Assumptions'!$B$5,'Assumptions'!$A$32:$A$34,0))</x:f>
        <x:v>2</x:v>
      </x:c>
      <x:c r="F16" s="85" t="str">
        <x:v>дом</x:v>
      </x:c>
      <x:c r="G16" s="121" t="n">
        <x:v>1296876.21</x:v>
      </x:c>
      <x:c r="H16" s="89" t="n">
        <x:f>E16*G16</x:f>
        <x:v>2593752.42</x:v>
      </x:c>
      <x:c r="I16" s="85" t="str">
        <x:v>RETAIL SNAPSHOT / RFQ</x:v>
      </x:c>
      <x:c r="J16" s="85" t="n">
        <x:v>9</x:v>
      </x:c>
      <x:c r="K16" s="90" t="str">
        <x:v>./procurement-costs-v0.2.json</x:v>
      </x:c>
      <x:c r="L16" s="80"/>
      <x:c r="M16" s="80"/>
      <x:c r="N16" s="80"/>
      <x:c r="O16" s="80"/>
      <x:c r="P16" s="80"/>
      <x:c r="Q16" s="80"/>
      <x:c r="R16" s="80"/>
      <x:c r="S16" s="80"/>
      <x:c r="T16" s="80"/>
      <x:c r="U16" s="80"/>
      <x:c r="V16" s="80"/>
      <x:c r="W16" s="80"/>
      <x:c r="X16" s="80"/>
      <x:c r="Y16" s="80"/>
      <x:c r="Z16" s="80"/>
      <x:c r="AA16" s="80"/>
      <x:c r="AB16" s="80"/>
      <x:c r="AC16" s="80"/>
      <x:c r="AD16" s="80"/>
      <x:c r="AE16" s="80"/>
      <x:c r="AF16" s="80"/>
      <x:c r="AG16" s="80"/>
      <x:c r="AH16" s="80"/>
      <x:c r="AI16" s="80"/>
      <x:c r="AJ16" s="80"/>
      <x:c r="AK16" s="80"/>
      <x:c r="AL16" s="80"/>
      <x:c r="AM16" s="80"/>
      <x:c r="AN16" s="80"/>
      <x:c r="AO16" s="80"/>
      <x:c r="AP16" s="80"/>
      <x:c r="AQ16" s="80"/>
      <x:c r="AR16" s="80"/>
      <x:c r="AS16" s="80"/>
      <x:c r="AT16" s="80"/>
      <x:c r="AU16" s="80"/>
      <x:c r="AV16" s="80"/>
      <x:c r="AW16" s="80"/>
      <x:c r="AX16" s="80"/>
      <x:c r="AY16" s="80"/>
      <x:c r="AZ16" s="80"/>
    </x:row>
    <x:row r="17">
      <x:c r="A17" s="84" t="str">
        <x:v>C02</x:v>
      </x:c>
      <x:c r="B17" s="85" t="str">
        <x:v>FF&amp;E / OS&amp;E</x:v>
      </x:c>
      <x:c r="C17" s="86" t="str">
        <x:v>Procurement v0.2 · Стандарт</x:v>
      </x:c>
      <x:c r="D17" s="85" t="str">
        <x:v>standard</x:v>
      </x:c>
      <x:c r="E17" s="87" t="n">
        <x:f>INDEX('Assumptions'!$C$32:$C$34,MATCH('Assumptions'!$B$5,'Assumptions'!$A$32:$A$34,0))</x:f>
        <x:v>5</x:v>
      </x:c>
      <x:c r="F17" s="85" t="str">
        <x:v>дом</x:v>
      </x:c>
      <x:c r="G17" s="121" t="n">
        <x:v>1790336</x:v>
      </x:c>
      <x:c r="H17" s="89" t="n">
        <x:f>E17*G17</x:f>
        <x:v>8951680</x:v>
      </x:c>
      <x:c r="I17" s="85" t="str">
        <x:v>RETAIL SNAPSHOT / RFQ</x:v>
      </x:c>
      <x:c r="J17" s="85" t="n">
        <x:v>9</x:v>
      </x:c>
      <x:c r="K17" s="90" t="str">
        <x:v>./procurement-costs-v0.2.json</x:v>
      </x:c>
      <x:c r="L17" s="80"/>
      <x:c r="M17" s="80"/>
      <x:c r="N17" s="80"/>
      <x:c r="O17" s="80"/>
      <x:c r="P17" s="80"/>
      <x:c r="Q17" s="80"/>
      <x:c r="R17" s="80"/>
      <x:c r="S17" s="80"/>
      <x:c r="T17" s="80"/>
      <x:c r="U17" s="80"/>
      <x:c r="V17" s="80"/>
      <x:c r="W17" s="80"/>
      <x:c r="X17" s="80"/>
      <x:c r="Y17" s="80"/>
      <x:c r="Z17" s="80"/>
      <x:c r="AA17" s="80"/>
      <x:c r="AB17" s="80"/>
      <x:c r="AC17" s="80"/>
      <x:c r="AD17" s="80"/>
      <x:c r="AE17" s="80"/>
      <x:c r="AF17" s="80"/>
      <x:c r="AG17" s="80"/>
      <x:c r="AH17" s="80"/>
      <x:c r="AI17" s="80"/>
      <x:c r="AJ17" s="80"/>
      <x:c r="AK17" s="80"/>
      <x:c r="AL17" s="80"/>
      <x:c r="AM17" s="80"/>
      <x:c r="AN17" s="80"/>
      <x:c r="AO17" s="80"/>
      <x:c r="AP17" s="80"/>
      <x:c r="AQ17" s="80"/>
      <x:c r="AR17" s="80"/>
      <x:c r="AS17" s="80"/>
      <x:c r="AT17" s="80"/>
      <x:c r="AU17" s="80"/>
      <x:c r="AV17" s="80"/>
      <x:c r="AW17" s="80"/>
      <x:c r="AX17" s="80"/>
      <x:c r="AY17" s="80"/>
      <x:c r="AZ17" s="80"/>
    </x:row>
    <x:row r="18">
      <x:c r="A18" s="84" t="str">
        <x:v>C03</x:v>
      </x:c>
      <x:c r="B18" s="85" t="str">
        <x:v>FF&amp;E / OS&amp;E</x:v>
      </x:c>
      <x:c r="C18" s="86" t="str">
        <x:v>Procurement v0.2 · Люкс</x:v>
      </x:c>
      <x:c r="D18" s="85" t="str">
        <x:v>lux</x:v>
      </x:c>
      <x:c r="E18" s="87" t="n">
        <x:f>INDEX('Assumptions'!$D$32:$D$34,MATCH('Assumptions'!$B$5,'Assumptions'!$A$32:$A$34,0))</x:f>
        <x:v>2</x:v>
      </x:c>
      <x:c r="F18" s="85" t="str">
        <x:v>дом</x:v>
      </x:c>
      <x:c r="G18" s="121" t="n">
        <x:v>2302110.11</x:v>
      </x:c>
      <x:c r="H18" s="89" t="n">
        <x:f>E18*G18</x:f>
        <x:v>4604220.22</x:v>
      </x:c>
      <x:c r="I18" s="85" t="str">
        <x:v>RETAIL SNAPSHOT / RFQ</x:v>
      </x:c>
      <x:c r="J18" s="85" t="n">
        <x:v>9</x:v>
      </x:c>
      <x:c r="K18" s="90" t="str">
        <x:v>./procurement-costs-v0.2.json</x:v>
      </x:c>
      <x:c r="L18" s="80"/>
      <x:c r="M18" s="80"/>
      <x:c r="N18" s="80"/>
      <x:c r="O18" s="80"/>
      <x:c r="P18" s="80"/>
      <x:c r="Q18" s="80"/>
      <x:c r="R18" s="80"/>
      <x:c r="S18" s="80"/>
      <x:c r="T18" s="80"/>
      <x:c r="U18" s="80"/>
      <x:c r="V18" s="80"/>
      <x:c r="W18" s="80"/>
      <x:c r="X18" s="80"/>
      <x:c r="Y18" s="80"/>
      <x:c r="Z18" s="80"/>
      <x:c r="AA18" s="80"/>
      <x:c r="AB18" s="80"/>
      <x:c r="AC18" s="80"/>
      <x:c r="AD18" s="80"/>
      <x:c r="AE18" s="80"/>
      <x:c r="AF18" s="80"/>
      <x:c r="AG18" s="80"/>
      <x:c r="AH18" s="80"/>
      <x:c r="AI18" s="80"/>
      <x:c r="AJ18" s="80"/>
      <x:c r="AK18" s="80"/>
      <x:c r="AL18" s="80"/>
      <x:c r="AM18" s="80"/>
      <x:c r="AN18" s="80"/>
      <x:c r="AO18" s="80"/>
      <x:c r="AP18" s="80"/>
      <x:c r="AQ18" s="80"/>
      <x:c r="AR18" s="80"/>
      <x:c r="AS18" s="80"/>
      <x:c r="AT18" s="80"/>
      <x:c r="AU18" s="80"/>
      <x:c r="AV18" s="80"/>
      <x:c r="AW18" s="80"/>
      <x:c r="AX18" s="80"/>
      <x:c r="AY18" s="80"/>
      <x:c r="AZ18" s="80"/>
    </x:row>
    <x:row r="19">
      <x:c r="A19" s="84" t="str">
        <x:v>C04</x:v>
      </x:c>
      <x:c r="B19" s="85" t="str">
        <x:v>Shared procurement</x:v>
      </x:c>
      <x:c r="C19" s="86" t="str">
        <x:v>Общее оснащение + стартовый склад</x:v>
      </x:c>
      <x:c r="D19" s="85" t="str">
        <x:v>fixed_portfolio</x:v>
      </x:c>
      <x:c r="E19" s="87" t="n">
        <x:f>1</x:f>
        <x:v>1</x:v>
      </x:c>
      <x:c r="F19" s="85" t="str">
        <x:v>портфель</x:v>
      </x:c>
      <x:c r="G19" s="121" t="n">
        <x:f>IF('Assumptions'!$B$5=4,3953112.8776041665,IF('Assumptions'!$B$5=9,5028274.75,7394050.989583333))</x:f>
        <x:v>5028274.75</x:v>
      </x:c>
      <x:c r="H19" s="89" t="n">
        <x:f>E19*G19</x:f>
        <x:v>5028274.75</x:v>
      </x:c>
      <x:c r="I19" s="85" t="str">
        <x:v>RETAIL SNAPSHOT / RFQ</x:v>
      </x:c>
      <x:c r="J19" s="85" t="n">
        <x:v>9</x:v>
      </x:c>
      <x:c r="K19" s="90" t="str">
        <x:v>./procurement-costs-v0.2.json</x:v>
      </x:c>
      <x:c r="L19" s="80"/>
      <x:c r="M19" s="80"/>
      <x:c r="N19" s="80"/>
      <x:c r="O19" s="80"/>
      <x:c r="P19" s="80"/>
      <x:c r="Q19" s="80"/>
      <x:c r="R19" s="80"/>
      <x:c r="S19" s="80"/>
      <x:c r="T19" s="80"/>
      <x:c r="U19" s="80"/>
      <x:c r="V19" s="80"/>
      <x:c r="W19" s="80"/>
      <x:c r="X19" s="80"/>
      <x:c r="Y19" s="80"/>
      <x:c r="Z19" s="80"/>
      <x:c r="AA19" s="80"/>
      <x:c r="AB19" s="80"/>
      <x:c r="AC19" s="80"/>
      <x:c r="AD19" s="80"/>
      <x:c r="AE19" s="80"/>
      <x:c r="AF19" s="80"/>
      <x:c r="AG19" s="80"/>
      <x:c r="AH19" s="80"/>
      <x:c r="AI19" s="80"/>
      <x:c r="AJ19" s="80"/>
      <x:c r="AK19" s="80"/>
      <x:c r="AL19" s="80"/>
      <x:c r="AM19" s="80"/>
      <x:c r="AN19" s="80"/>
      <x:c r="AO19" s="80"/>
      <x:c r="AP19" s="80"/>
      <x:c r="AQ19" s="80"/>
      <x:c r="AR19" s="80"/>
      <x:c r="AS19" s="80"/>
      <x:c r="AT19" s="80"/>
      <x:c r="AU19" s="80"/>
      <x:c r="AV19" s="80"/>
      <x:c r="AW19" s="80"/>
      <x:c r="AX19" s="80"/>
      <x:c r="AY19" s="80"/>
      <x:c r="AZ19" s="80"/>
    </x:row>
    <x:row r="20">
      <x:c r="A20" s="84" t="str">
        <x:v>D01</x:v>
      </x:c>
      <x:c r="B20" s="85" t="str">
        <x:v>Инженерия участка</x:v>
      </x:c>
      <x:c r="C20" s="86" t="str">
        <x:v>Кессон и локальный водяной ввод</x:v>
      </x:c>
      <x:c r="D20" s="85" t="str">
        <x:v>all</x:v>
      </x:c>
      <x:c r="E20" s="87" t="n">
        <x:f>'Assumptions'!$B$5</x:f>
        <x:v>9</x:v>
      </x:c>
      <x:c r="F20" s="85" t="str">
        <x:v>участок</x:v>
      </x:c>
      <x:c r="G20" s="121" t="n">
        <x:v>220000</x:v>
      </x:c>
      <x:c r="H20" s="89" t="n">
        <x:f>E20*G20</x:f>
        <x:v>1980000</x:v>
      </x:c>
      <x:c r="I20" s="85" t="str">
        <x:v>ASSUMPTION</x:v>
      </x:c>
      <x:c r="J20" s="85" t="n">
        <x:v>5</x:v>
      </x:c>
      <x:c r="K20" s="90" t="str">
        <x:v>RFQ REQUIRED</x:v>
      </x:c>
      <x:c r="L20" s="80"/>
      <x:c r="M20" s="80"/>
      <x:c r="N20" s="80"/>
      <x:c r="O20" s="80"/>
      <x:c r="P20" s="80"/>
      <x:c r="Q20" s="80"/>
      <x:c r="R20" s="80"/>
      <x:c r="S20" s="80"/>
      <x:c r="T20" s="80"/>
      <x:c r="U20" s="80"/>
      <x:c r="V20" s="80"/>
      <x:c r="W20" s="80"/>
      <x:c r="X20" s="80"/>
      <x:c r="Y20" s="80"/>
      <x:c r="Z20" s="80"/>
      <x:c r="AA20" s="80"/>
      <x:c r="AB20" s="80"/>
      <x:c r="AC20" s="80"/>
      <x:c r="AD20" s="80"/>
      <x:c r="AE20" s="80"/>
      <x:c r="AF20" s="80"/>
      <x:c r="AG20" s="80"/>
      <x:c r="AH20" s="80"/>
      <x:c r="AI20" s="80"/>
      <x:c r="AJ20" s="80"/>
      <x:c r="AK20" s="80"/>
      <x:c r="AL20" s="80"/>
      <x:c r="AM20" s="80"/>
      <x:c r="AN20" s="80"/>
      <x:c r="AO20" s="80"/>
      <x:c r="AP20" s="80"/>
      <x:c r="AQ20" s="80"/>
      <x:c r="AR20" s="80"/>
      <x:c r="AS20" s="80"/>
      <x:c r="AT20" s="80"/>
      <x:c r="AU20" s="80"/>
      <x:c r="AV20" s="80"/>
      <x:c r="AW20" s="80"/>
      <x:c r="AX20" s="80"/>
      <x:c r="AY20" s="80"/>
      <x:c r="AZ20" s="80"/>
    </x:row>
    <x:row r="21">
      <x:c r="A21" s="84" t="str">
        <x:v>D02</x:v>
      </x:c>
      <x:c r="B21" s="85" t="str">
        <x:v>Инженерия участка</x:v>
      </x:c>
      <x:c r="C21" s="86" t="str">
        <x:v>Переливной септик и монтаж</x:v>
      </x:c>
      <x:c r="D21" s="85" t="str">
        <x:v>all</x:v>
      </x:c>
      <x:c r="E21" s="87" t="n">
        <x:f>'Assumptions'!$B$5</x:f>
        <x:v>9</x:v>
      </x:c>
      <x:c r="F21" s="85" t="str">
        <x:v>участок</x:v>
      </x:c>
      <x:c r="G21" s="121" t="n">
        <x:v>340000</x:v>
      </x:c>
      <x:c r="H21" s="89" t="n">
        <x:f>E21*G21</x:f>
        <x:v>3060000</x:v>
      </x:c>
      <x:c r="I21" s="85" t="str">
        <x:v>ASSUMPTION</x:v>
      </x:c>
      <x:c r="J21" s="85" t="n">
        <x:v>5</x:v>
      </x:c>
      <x:c r="K21" s="90" t="str">
        <x:v>RFQ REQUIRED</x:v>
      </x:c>
      <x:c r="L21" s="80"/>
      <x:c r="M21" s="80"/>
      <x:c r="N21" s="80"/>
      <x:c r="O21" s="80"/>
      <x:c r="P21" s="80"/>
      <x:c r="Q21" s="80"/>
      <x:c r="R21" s="80"/>
      <x:c r="S21" s="80"/>
      <x:c r="T21" s="80"/>
      <x:c r="U21" s="80"/>
      <x:c r="V21" s="80"/>
      <x:c r="W21" s="80"/>
      <x:c r="X21" s="80"/>
      <x:c r="Y21" s="80"/>
      <x:c r="Z21" s="80"/>
      <x:c r="AA21" s="80"/>
      <x:c r="AB21" s="80"/>
      <x:c r="AC21" s="80"/>
      <x:c r="AD21" s="80"/>
      <x:c r="AE21" s="80"/>
      <x:c r="AF21" s="80"/>
      <x:c r="AG21" s="80"/>
      <x:c r="AH21" s="80"/>
      <x:c r="AI21" s="80"/>
      <x:c r="AJ21" s="80"/>
      <x:c r="AK21" s="80"/>
      <x:c r="AL21" s="80"/>
      <x:c r="AM21" s="80"/>
      <x:c r="AN21" s="80"/>
      <x:c r="AO21" s="80"/>
      <x:c r="AP21" s="80"/>
      <x:c r="AQ21" s="80"/>
      <x:c r="AR21" s="80"/>
      <x:c r="AS21" s="80"/>
      <x:c r="AT21" s="80"/>
      <x:c r="AU21" s="80"/>
      <x:c r="AV21" s="80"/>
      <x:c r="AW21" s="80"/>
      <x:c r="AX21" s="80"/>
      <x:c r="AY21" s="80"/>
      <x:c r="AZ21" s="80"/>
    </x:row>
    <x:row r="22">
      <x:c r="A22" s="84" t="str">
        <x:v>D03</x:v>
      </x:c>
      <x:c r="B22" s="85" t="str">
        <x:v>Инженерия участка</x:v>
      </x:c>
      <x:c r="C22" s="86" t="str">
        <x:v>Электрощит, кабель и локальное подключение</x:v>
      </x:c>
      <x:c r="D22" s="85" t="str">
        <x:v>all</x:v>
      </x:c>
      <x:c r="E22" s="87" t="n">
        <x:f>'Assumptions'!$B$5</x:f>
        <x:v>9</x:v>
      </x:c>
      <x:c r="F22" s="85" t="str">
        <x:v>участок</x:v>
      </x:c>
      <x:c r="G22" s="121" t="n">
        <x:v>160000</x:v>
      </x:c>
      <x:c r="H22" s="89" t="n">
        <x:f>E22*G22</x:f>
        <x:v>1440000</x:v>
      </x:c>
      <x:c r="I22" s="85" t="str">
        <x:v>ASSUMPTION</x:v>
      </x:c>
      <x:c r="J22" s="85" t="n">
        <x:v>6</x:v>
      </x:c>
      <x:c r="K22" s="90" t="str">
        <x:v>RFQ REQUIRED</x:v>
      </x:c>
      <x:c r="L22" s="80"/>
      <x:c r="M22" s="80"/>
      <x:c r="N22" s="80"/>
      <x:c r="O22" s="80"/>
      <x:c r="P22" s="80"/>
      <x:c r="Q22" s="80"/>
      <x:c r="R22" s="80"/>
      <x:c r="S22" s="80"/>
      <x:c r="T22" s="80"/>
      <x:c r="U22" s="80"/>
      <x:c r="V22" s="80"/>
      <x:c r="W22" s="80"/>
      <x:c r="X22" s="80"/>
      <x:c r="Y22" s="80"/>
      <x:c r="Z22" s="80"/>
      <x:c r="AA22" s="80"/>
      <x:c r="AB22" s="80"/>
      <x:c r="AC22" s="80"/>
      <x:c r="AD22" s="80"/>
      <x:c r="AE22" s="80"/>
      <x:c r="AF22" s="80"/>
      <x:c r="AG22" s="80"/>
      <x:c r="AH22" s="80"/>
      <x:c r="AI22" s="80"/>
      <x:c r="AJ22" s="80"/>
      <x:c r="AK22" s="80"/>
      <x:c r="AL22" s="80"/>
      <x:c r="AM22" s="80"/>
      <x:c r="AN22" s="80"/>
      <x:c r="AO22" s="80"/>
      <x:c r="AP22" s="80"/>
      <x:c r="AQ22" s="80"/>
      <x:c r="AR22" s="80"/>
      <x:c r="AS22" s="80"/>
      <x:c r="AT22" s="80"/>
      <x:c r="AU22" s="80"/>
      <x:c r="AV22" s="80"/>
      <x:c r="AW22" s="80"/>
      <x:c r="AX22" s="80"/>
      <x:c r="AY22" s="80"/>
      <x:c r="AZ22" s="80"/>
    </x:row>
    <x:row r="23">
      <x:c r="A23" s="84" t="str">
        <x:v>D04</x:v>
      </x:c>
      <x:c r="B23" s="85" t="str">
        <x:v>Благоустройство участка</x:v>
      </x:c>
      <x:c r="C23" s="86" t="str">
        <x:v>Забор, калитка, туи и декоративные дорожки · без света</x:v>
      </x:c>
      <x:c r="D23" s="85" t="str">
        <x:v>all</x:v>
      </x:c>
      <x:c r="E23" s="87" t="n">
        <x:f>'Assumptions'!$B$5</x:f>
        <x:v>9</x:v>
      </x:c>
      <x:c r="F23" s="85" t="str">
        <x:v>участок</x:v>
      </x:c>
      <x:c r="G23" s="121" t="n">
        <x:v>950000</x:v>
      </x:c>
      <x:c r="H23" s="89" t="n">
        <x:f>E23*G23</x:f>
        <x:v>8550000</x:v>
      </x:c>
      <x:c r="I23" s="85" t="str">
        <x:v>ASSUMPTION</x:v>
      </x:c>
      <x:c r="J23" s="85" t="n">
        <x:v>9</x:v>
      </x:c>
      <x:c r="K23" s="90" t="str">
        <x:v>RFQ REQUIRED</x:v>
      </x:c>
      <x:c r="L23" s="80"/>
      <x:c r="M23" s="80"/>
      <x:c r="N23" s="80"/>
      <x:c r="O23" s="80"/>
      <x:c r="P23" s="80"/>
      <x:c r="Q23" s="80"/>
      <x:c r="R23" s="80"/>
      <x:c r="S23" s="80"/>
      <x:c r="T23" s="80"/>
      <x:c r="U23" s="80"/>
      <x:c r="V23" s="80"/>
      <x:c r="W23" s="80"/>
      <x:c r="X23" s="80"/>
      <x:c r="Y23" s="80"/>
      <x:c r="Z23" s="80"/>
      <x:c r="AA23" s="80"/>
      <x:c r="AB23" s="80"/>
      <x:c r="AC23" s="80"/>
      <x:c r="AD23" s="80"/>
      <x:c r="AE23" s="80"/>
      <x:c r="AF23" s="80"/>
      <x:c r="AG23" s="80"/>
      <x:c r="AH23" s="80"/>
      <x:c r="AI23" s="80"/>
      <x:c r="AJ23" s="80"/>
      <x:c r="AK23" s="80"/>
      <x:c r="AL23" s="80"/>
      <x:c r="AM23" s="80"/>
      <x:c r="AN23" s="80"/>
      <x:c r="AO23" s="80"/>
      <x:c r="AP23" s="80"/>
      <x:c r="AQ23" s="80"/>
      <x:c r="AR23" s="80"/>
      <x:c r="AS23" s="80"/>
      <x:c r="AT23" s="80"/>
      <x:c r="AU23" s="80"/>
      <x:c r="AV23" s="80"/>
      <x:c r="AW23" s="80"/>
      <x:c r="AX23" s="80"/>
      <x:c r="AY23" s="80"/>
      <x:c r="AZ23" s="80"/>
    </x:row>
    <x:row r="24">
      <x:c r="A24" s="84" t="str">
        <x:v>E01</x:v>
      </x:c>
      <x:c r="B24" s="85" t="str">
        <x:v>Проектирование</x:v>
      </x:c>
      <x:c r="C24" s="86" t="str">
        <x:v>Геодезия, геология и обследования</x:v>
      </x:c>
      <x:c r="D24" s="85" t="str">
        <x:v>fixed</x:v>
      </x:c>
      <x:c r="E24" s="87" t="n">
        <x:f>1</x:f>
        <x:v>1</x:v>
      </x:c>
      <x:c r="F24" s="85" t="str">
        <x:v>пакет</x:v>
      </x:c>
      <x:c r="G24" s="121" t="n">
        <x:v>1800000</x:v>
      </x:c>
      <x:c r="H24" s="89" t="n">
        <x:f>E24*G24</x:f>
        <x:v>1800000</x:v>
      </x:c>
      <x:c r="I24" s="85" t="str">
        <x:v>ASSUMPTION</x:v>
      </x:c>
      <x:c r="J24" s="85" t="n">
        <x:v>1</x:v>
      </x:c>
      <x:c r="K24" s="90" t="str">
        <x:v>RFQ REQUIRED</x:v>
      </x:c>
      <x:c r="L24" s="80"/>
      <x:c r="M24" s="80"/>
      <x:c r="N24" s="80"/>
      <x:c r="O24" s="80"/>
      <x:c r="P24" s="80"/>
      <x:c r="Q24" s="80"/>
      <x:c r="R24" s="80"/>
      <x:c r="S24" s="80"/>
      <x:c r="T24" s="80"/>
      <x:c r="U24" s="80"/>
      <x:c r="V24" s="80"/>
      <x:c r="W24" s="80"/>
      <x:c r="X24" s="80"/>
      <x:c r="Y24" s="80"/>
      <x:c r="Z24" s="80"/>
      <x:c r="AA24" s="80"/>
      <x:c r="AB24" s="80"/>
      <x:c r="AC24" s="80"/>
      <x:c r="AD24" s="80"/>
      <x:c r="AE24" s="80"/>
      <x:c r="AF24" s="80"/>
      <x:c r="AG24" s="80"/>
      <x:c r="AH24" s="80"/>
      <x:c r="AI24" s="80"/>
      <x:c r="AJ24" s="80"/>
      <x:c r="AK24" s="80"/>
      <x:c r="AL24" s="80"/>
      <x:c r="AM24" s="80"/>
      <x:c r="AN24" s="80"/>
      <x:c r="AO24" s="80"/>
      <x:c r="AP24" s="80"/>
      <x:c r="AQ24" s="80"/>
      <x:c r="AR24" s="80"/>
      <x:c r="AS24" s="80"/>
      <x:c r="AT24" s="80"/>
      <x:c r="AU24" s="80"/>
      <x:c r="AV24" s="80"/>
      <x:c r="AW24" s="80"/>
      <x:c r="AX24" s="80"/>
      <x:c r="AY24" s="80"/>
      <x:c r="AZ24" s="80"/>
    </x:row>
    <x:row r="25">
      <x:c r="A25" s="84" t="str">
        <x:v>E02</x:v>
      </x:c>
      <x:c r="B25" s="85" t="str">
        <x:v>Проектирование</x:v>
      </x:c>
      <x:c r="C25" s="86" t="str">
        <x:v>Генплан, архитектура и рабочая документация</x:v>
      </x:c>
      <x:c r="D25" s="85" t="str">
        <x:v>fixed</x:v>
      </x:c>
      <x:c r="E25" s="87" t="n">
        <x:f>1</x:f>
        <x:v>1</x:v>
      </x:c>
      <x:c r="F25" s="85" t="str">
        <x:v>пакет</x:v>
      </x:c>
      <x:c r="G25" s="121" t="n">
        <x:v>3200000</x:v>
      </x:c>
      <x:c r="H25" s="89" t="n">
        <x:f>E25*G25</x:f>
        <x:v>3200000</x:v>
      </x:c>
      <x:c r="I25" s="85" t="str">
        <x:v>ASSUMPTION</x:v>
      </x:c>
      <x:c r="J25" s="85" t="n">
        <x:v>1</x:v>
      </x:c>
      <x:c r="K25" s="90" t="str">
        <x:v>RFQ REQUIRED</x:v>
      </x:c>
      <x:c r="L25" s="80"/>
      <x:c r="M25" s="80"/>
      <x:c r="N25" s="80"/>
      <x:c r="O25" s="80"/>
      <x:c r="P25" s="80"/>
      <x:c r="Q25" s="80"/>
      <x:c r="R25" s="80"/>
      <x:c r="S25" s="80"/>
      <x:c r="T25" s="80"/>
      <x:c r="U25" s="80"/>
      <x:c r="V25" s="80"/>
      <x:c r="W25" s="80"/>
      <x:c r="X25" s="80"/>
      <x:c r="Y25" s="80"/>
      <x:c r="Z25" s="80"/>
      <x:c r="AA25" s="80"/>
      <x:c r="AB25" s="80"/>
      <x:c r="AC25" s="80"/>
      <x:c r="AD25" s="80"/>
      <x:c r="AE25" s="80"/>
      <x:c r="AF25" s="80"/>
      <x:c r="AG25" s="80"/>
      <x:c r="AH25" s="80"/>
      <x:c r="AI25" s="80"/>
      <x:c r="AJ25" s="80"/>
      <x:c r="AK25" s="80"/>
      <x:c r="AL25" s="80"/>
      <x:c r="AM25" s="80"/>
      <x:c r="AN25" s="80"/>
      <x:c r="AO25" s="80"/>
      <x:c r="AP25" s="80"/>
      <x:c r="AQ25" s="80"/>
      <x:c r="AR25" s="80"/>
      <x:c r="AS25" s="80"/>
      <x:c r="AT25" s="80"/>
      <x:c r="AU25" s="80"/>
      <x:c r="AV25" s="80"/>
      <x:c r="AW25" s="80"/>
      <x:c r="AX25" s="80"/>
      <x:c r="AY25" s="80"/>
      <x:c r="AZ25" s="80"/>
    </x:row>
    <x:row r="26">
      <x:c r="A26" s="84" t="str">
        <x:v>E03</x:v>
      </x:c>
      <x:c r="B26" s="85" t="str">
        <x:v>Проектирование</x:v>
      </x:c>
      <x:c r="C26" s="86" t="str">
        <x:v>ТУ, согласования и экспертизы</x:v>
      </x:c>
      <x:c r="D26" s="85" t="str">
        <x:v>fixed</x:v>
      </x:c>
      <x:c r="E26" s="87" t="n">
        <x:f>1</x:f>
        <x:v>1</x:v>
      </x:c>
      <x:c r="F26" s="85" t="str">
        <x:v>пакет</x:v>
      </x:c>
      <x:c r="G26" s="121" t="n">
        <x:v>800000</x:v>
      </x:c>
      <x:c r="H26" s="89" t="n">
        <x:f>E26*G26</x:f>
        <x:v>800000</x:v>
      </x:c>
      <x:c r="I26" s="85" t="str">
        <x:v>ASSUMPTION</x:v>
      </x:c>
      <x:c r="J26" s="85" t="n">
        <x:v>2</x:v>
      </x:c>
      <x:c r="K26" s="90" t="str">
        <x:v>LEGAL / TECH REVIEW</x:v>
      </x:c>
      <x:c r="L26" s="80"/>
      <x:c r="M26" s="80"/>
      <x:c r="N26" s="80"/>
      <x:c r="O26" s="80"/>
      <x:c r="P26" s="80"/>
      <x:c r="Q26" s="80"/>
      <x:c r="R26" s="80"/>
      <x:c r="S26" s="80"/>
      <x:c r="T26" s="80"/>
      <x:c r="U26" s="80"/>
      <x:c r="V26" s="80"/>
      <x:c r="W26" s="80"/>
      <x:c r="X26" s="80"/>
      <x:c r="Y26" s="80"/>
      <x:c r="Z26" s="80"/>
      <x:c r="AA26" s="80"/>
      <x:c r="AB26" s="80"/>
      <x:c r="AC26" s="80"/>
      <x:c r="AD26" s="80"/>
      <x:c r="AE26" s="80"/>
      <x:c r="AF26" s="80"/>
      <x:c r="AG26" s="80"/>
      <x:c r="AH26" s="80"/>
      <x:c r="AI26" s="80"/>
      <x:c r="AJ26" s="80"/>
      <x:c r="AK26" s="80"/>
      <x:c r="AL26" s="80"/>
      <x:c r="AM26" s="80"/>
      <x:c r="AN26" s="80"/>
      <x:c r="AO26" s="80"/>
      <x:c r="AP26" s="80"/>
      <x:c r="AQ26" s="80"/>
      <x:c r="AR26" s="80"/>
      <x:c r="AS26" s="80"/>
      <x:c r="AT26" s="80"/>
      <x:c r="AU26" s="80"/>
      <x:c r="AV26" s="80"/>
      <x:c r="AW26" s="80"/>
      <x:c r="AX26" s="80"/>
      <x:c r="AY26" s="80"/>
      <x:c r="AZ26" s="80"/>
    </x:row>
    <x:row r="27">
      <x:c r="A27" s="84" t="str">
        <x:v>E04</x:v>
      </x:c>
      <x:c r="B27" s="85" t="str">
        <x:v>Подготовка площадки</x:v>
      </x:c>
      <x:c r="C27" s="86" t="str">
        <x:v>Расчистка, планировка и сохранение деревьев</x:v>
      </x:c>
      <x:c r="D27" s="85" t="str">
        <x:v>fixed</x:v>
      </x:c>
      <x:c r="E27" s="87" t="n">
        <x:f>IF('Assumptions'!$B$5=4,0.65,1)</x:f>
        <x:v>1</x:v>
      </x:c>
      <x:c r="F27" s="85" t="str">
        <x:v>пакет</x:v>
      </x:c>
      <x:c r="G27" s="121" t="n">
        <x:v>3600000</x:v>
      </x:c>
      <x:c r="H27" s="89" t="n">
        <x:f>E27*G27</x:f>
        <x:v>3600000</x:v>
      </x:c>
      <x:c r="I27" s="85" t="str">
        <x:v>ASSUMPTION</x:v>
      </x:c>
      <x:c r="J27" s="85" t="n">
        <x:v>3</x:v>
      </x:c>
      <x:c r="K27" s="90" t="str">
        <x:v>RFQ REQUIRED</x:v>
      </x:c>
      <x:c r="L27" s="80"/>
      <x:c r="M27" s="80"/>
      <x:c r="N27" s="80"/>
      <x:c r="O27" s="80"/>
      <x:c r="P27" s="80"/>
      <x:c r="Q27" s="80"/>
      <x:c r="R27" s="80"/>
      <x:c r="S27" s="80"/>
      <x:c r="T27" s="80"/>
      <x:c r="U27" s="80"/>
      <x:c r="V27" s="80"/>
      <x:c r="W27" s="80"/>
      <x:c r="X27" s="80"/>
      <x:c r="Y27" s="80"/>
      <x:c r="Z27" s="80"/>
      <x:c r="AA27" s="80"/>
      <x:c r="AB27" s="80"/>
      <x:c r="AC27" s="80"/>
      <x:c r="AD27" s="80"/>
      <x:c r="AE27" s="80"/>
      <x:c r="AF27" s="80"/>
      <x:c r="AG27" s="80"/>
      <x:c r="AH27" s="80"/>
      <x:c r="AI27" s="80"/>
      <x:c r="AJ27" s="80"/>
      <x:c r="AK27" s="80"/>
      <x:c r="AL27" s="80"/>
      <x:c r="AM27" s="80"/>
      <x:c r="AN27" s="80"/>
      <x:c r="AO27" s="80"/>
      <x:c r="AP27" s="80"/>
      <x:c r="AQ27" s="80"/>
      <x:c r="AR27" s="80"/>
      <x:c r="AS27" s="80"/>
      <x:c r="AT27" s="80"/>
      <x:c r="AU27" s="80"/>
      <x:c r="AV27" s="80"/>
      <x:c r="AW27" s="80"/>
      <x:c r="AX27" s="80"/>
      <x:c r="AY27" s="80"/>
      <x:c r="AZ27" s="80"/>
    </x:row>
    <x:row r="28">
      <x:c r="A28" s="84" t="str">
        <x:v>E05</x:v>
      </x:c>
      <x:c r="B28" s="85" t="str">
        <x:v>Подготовка площадки</x:v>
      </x:c>
      <x:c r="C28" s="86" t="str">
        <x:v>Временные сети, бытовки и ограждение стройки</x:v>
      </x:c>
      <x:c r="D28" s="85" t="str">
        <x:v>fixed</x:v>
      </x:c>
      <x:c r="E28" s="87" t="n">
        <x:f>IF('Assumptions'!$B$5=4,0.75,1)</x:f>
        <x:v>1</x:v>
      </x:c>
      <x:c r="F28" s="85" t="str">
        <x:v>пакет</x:v>
      </x:c>
      <x:c r="G28" s="121" t="n">
        <x:v>1200000</x:v>
      </x:c>
      <x:c r="H28" s="89" t="n">
        <x:f>E28*G28</x:f>
        <x:v>1200000</x:v>
      </x:c>
      <x:c r="I28" s="85" t="str">
        <x:v>ASSUMPTION</x:v>
      </x:c>
      <x:c r="J28" s="85" t="n">
        <x:v>3</x:v>
      </x:c>
      <x:c r="K28" s="90" t="str">
        <x:v>RFQ REQUIRED</x:v>
      </x:c>
      <x:c r="L28" s="80"/>
      <x:c r="M28" s="80"/>
      <x:c r="N28" s="80"/>
      <x:c r="O28" s="80"/>
      <x:c r="P28" s="80"/>
      <x:c r="Q28" s="80"/>
      <x:c r="R28" s="80"/>
      <x:c r="S28" s="80"/>
      <x:c r="T28" s="80"/>
      <x:c r="U28" s="80"/>
      <x:c r="V28" s="80"/>
      <x:c r="W28" s="80"/>
      <x:c r="X28" s="80"/>
      <x:c r="Y28" s="80"/>
      <x:c r="Z28" s="80"/>
      <x:c r="AA28" s="80"/>
      <x:c r="AB28" s="80"/>
      <x:c r="AC28" s="80"/>
      <x:c r="AD28" s="80"/>
      <x:c r="AE28" s="80"/>
      <x:c r="AF28" s="80"/>
      <x:c r="AG28" s="80"/>
      <x:c r="AH28" s="80"/>
      <x:c r="AI28" s="80"/>
      <x:c r="AJ28" s="80"/>
      <x:c r="AK28" s="80"/>
      <x:c r="AL28" s="80"/>
      <x:c r="AM28" s="80"/>
      <x:c r="AN28" s="80"/>
      <x:c r="AO28" s="80"/>
      <x:c r="AP28" s="80"/>
      <x:c r="AQ28" s="80"/>
      <x:c r="AR28" s="80"/>
      <x:c r="AS28" s="80"/>
      <x:c r="AT28" s="80"/>
      <x:c r="AU28" s="80"/>
      <x:c r="AV28" s="80"/>
      <x:c r="AW28" s="80"/>
      <x:c r="AX28" s="80"/>
      <x:c r="AY28" s="80"/>
      <x:c r="AZ28" s="80"/>
    </x:row>
    <x:row r="29">
      <x:c r="A29" s="84" t="str">
        <x:v>E06</x:v>
      </x:c>
      <x:c r="B29" s="85" t="str">
        <x:v>Общие сети</x:v>
      </x:c>
      <x:c r="C29" s="86" t="str">
        <x:v>Дороги, дренаж и ливневая схема</x:v>
      </x:c>
      <x:c r="D29" s="85" t="str">
        <x:v>fixed</x:v>
      </x:c>
      <x:c r="E29" s="87" t="n">
        <x:f>IF('Assumptions'!$B$5=4,0.5,1)</x:f>
        <x:v>1</x:v>
      </x:c>
      <x:c r="F29" s="85" t="str">
        <x:v>пакет</x:v>
      </x:c>
      <x:c r="G29" s="121" t="n">
        <x:v>12000000</x:v>
      </x:c>
      <x:c r="H29" s="89" t="n">
        <x:f>E29*G29</x:f>
        <x:v>12000000</x:v>
      </x:c>
      <x:c r="I29" s="85" t="str">
        <x:v>ASSUMPTION</x:v>
      </x:c>
      <x:c r="J29" s="85" t="n">
        <x:v>4</x:v>
      </x:c>
      <x:c r="K29" s="90" t="str">
        <x:v>RFQ REQUIRED</x:v>
      </x:c>
      <x:c r="L29" s="80"/>
      <x:c r="M29" s="80"/>
      <x:c r="N29" s="80"/>
      <x:c r="O29" s="80"/>
      <x:c r="P29" s="80"/>
      <x:c r="Q29" s="80"/>
      <x:c r="R29" s="80"/>
      <x:c r="S29" s="80"/>
      <x:c r="T29" s="80"/>
      <x:c r="U29" s="80"/>
      <x:c r="V29" s="80"/>
      <x:c r="W29" s="80"/>
      <x:c r="X29" s="80"/>
      <x:c r="Y29" s="80"/>
      <x:c r="Z29" s="80"/>
      <x:c r="AA29" s="80"/>
      <x:c r="AB29" s="80"/>
      <x:c r="AC29" s="80"/>
      <x:c r="AD29" s="80"/>
      <x:c r="AE29" s="80"/>
      <x:c r="AF29" s="80"/>
      <x:c r="AG29" s="80"/>
      <x:c r="AH29" s="80"/>
      <x:c r="AI29" s="80"/>
      <x:c r="AJ29" s="80"/>
      <x:c r="AK29" s="80"/>
      <x:c r="AL29" s="80"/>
      <x:c r="AM29" s="80"/>
      <x:c r="AN29" s="80"/>
      <x:c r="AO29" s="80"/>
      <x:c r="AP29" s="80"/>
      <x:c r="AQ29" s="80"/>
      <x:c r="AR29" s="80"/>
      <x:c r="AS29" s="80"/>
      <x:c r="AT29" s="80"/>
      <x:c r="AU29" s="80"/>
      <x:c r="AV29" s="80"/>
      <x:c r="AW29" s="80"/>
      <x:c r="AX29" s="80"/>
      <x:c r="AY29" s="80"/>
      <x:c r="AZ29" s="80"/>
    </x:row>
    <x:row r="30">
      <x:c r="A30" s="84" t="str">
        <x:v>E07</x:v>
      </x:c>
      <x:c r="B30" s="85" t="str">
        <x:v>Общие сети</x:v>
      </x:c>
      <x:c r="C30" s="86" t="str">
        <x:v>Внешнее электроснабжение, мощность и магистрали</x:v>
      </x:c>
      <x:c r="D30" s="85" t="str">
        <x:v>fixed</x:v>
      </x:c>
      <x:c r="E30" s="87" t="n">
        <x:f>IF('Assumptions'!$B$5=4,0.45,1)</x:f>
        <x:v>1</x:v>
      </x:c>
      <x:c r="F30" s="85" t="str">
        <x:v>пакет</x:v>
      </x:c>
      <x:c r="G30" s="121" t="n">
        <x:v>18000000</x:v>
      </x:c>
      <x:c r="H30" s="89" t="n">
        <x:f>E30*G30</x:f>
        <x:v>18000000</x:v>
      </x:c>
      <x:c r="I30" s="85" t="str">
        <x:v>ASSUMPTION</x:v>
      </x:c>
      <x:c r="J30" s="85" t="n">
        <x:v>4</x:v>
      </x:c>
      <x:c r="K30" s="90" t="str">
        <x:v>TU / RFQ REQUIRED</x:v>
      </x:c>
      <x:c r="L30" s="80"/>
      <x:c r="M30" s="80"/>
      <x:c r="N30" s="80"/>
      <x:c r="O30" s="80"/>
      <x:c r="P30" s="80"/>
      <x:c r="Q30" s="80"/>
      <x:c r="R30" s="80"/>
      <x:c r="S30" s="80"/>
      <x:c r="T30" s="80"/>
      <x:c r="U30" s="80"/>
      <x:c r="V30" s="80"/>
      <x:c r="W30" s="80"/>
      <x:c r="X30" s="80"/>
      <x:c r="Y30" s="80"/>
      <x:c r="Z30" s="80"/>
      <x:c r="AA30" s="80"/>
      <x:c r="AB30" s="80"/>
      <x:c r="AC30" s="80"/>
      <x:c r="AD30" s="80"/>
      <x:c r="AE30" s="80"/>
      <x:c r="AF30" s="80"/>
      <x:c r="AG30" s="80"/>
      <x:c r="AH30" s="80"/>
      <x:c r="AI30" s="80"/>
      <x:c r="AJ30" s="80"/>
      <x:c r="AK30" s="80"/>
      <x:c r="AL30" s="80"/>
      <x:c r="AM30" s="80"/>
      <x:c r="AN30" s="80"/>
      <x:c r="AO30" s="80"/>
      <x:c r="AP30" s="80"/>
      <x:c r="AQ30" s="80"/>
      <x:c r="AR30" s="80"/>
      <x:c r="AS30" s="80"/>
      <x:c r="AT30" s="80"/>
      <x:c r="AU30" s="80"/>
      <x:c r="AV30" s="80"/>
      <x:c r="AW30" s="80"/>
      <x:c r="AX30" s="80"/>
      <x:c r="AY30" s="80"/>
      <x:c r="AZ30" s="80"/>
    </x:row>
    <x:row r="31">
      <x:c r="A31" s="84" t="str">
        <x:v>E08</x:v>
      </x:c>
      <x:c r="B31" s="85" t="str">
        <x:v>Общие сети</x:v>
      </x:c>
      <x:c r="C31" s="86" t="str">
        <x:v>Общая система воды и магистраль</x:v>
      </x:c>
      <x:c r="D31" s="85" t="str">
        <x:v>fixed</x:v>
      </x:c>
      <x:c r="E31" s="87" t="n">
        <x:f>IF('Assumptions'!$B$5=4,0.625,1)</x:f>
        <x:v>1</x:v>
      </x:c>
      <x:c r="F31" s="85" t="str">
        <x:v>пакет</x:v>
      </x:c>
      <x:c r="G31" s="121" t="n">
        <x:v>4000000</x:v>
      </x:c>
      <x:c r="H31" s="89" t="n">
        <x:f>E31*G31</x:f>
        <x:v>4000000</x:v>
      </x:c>
      <x:c r="I31" s="85" t="str">
        <x:v>ASSUMPTION</x:v>
      </x:c>
      <x:c r="J31" s="85" t="n">
        <x:v>4</x:v>
      </x:c>
      <x:c r="K31" s="90" t="str">
        <x:v>TU / RFQ REQUIRED</x:v>
      </x:c>
      <x:c r="L31" s="80"/>
      <x:c r="M31" s="80"/>
      <x:c r="N31" s="80"/>
      <x:c r="O31" s="80"/>
      <x:c r="P31" s="80"/>
      <x:c r="Q31" s="80"/>
      <x:c r="R31" s="80"/>
      <x:c r="S31" s="80"/>
      <x:c r="T31" s="80"/>
      <x:c r="U31" s="80"/>
      <x:c r="V31" s="80"/>
      <x:c r="W31" s="80"/>
      <x:c r="X31" s="80"/>
      <x:c r="Y31" s="80"/>
      <x:c r="Z31" s="80"/>
      <x:c r="AA31" s="80"/>
      <x:c r="AB31" s="80"/>
      <x:c r="AC31" s="80"/>
      <x:c r="AD31" s="80"/>
      <x:c r="AE31" s="80"/>
      <x:c r="AF31" s="80"/>
      <x:c r="AG31" s="80"/>
      <x:c r="AH31" s="80"/>
      <x:c r="AI31" s="80"/>
      <x:c r="AJ31" s="80"/>
      <x:c r="AK31" s="80"/>
      <x:c r="AL31" s="80"/>
      <x:c r="AM31" s="80"/>
      <x:c r="AN31" s="80"/>
      <x:c r="AO31" s="80"/>
      <x:c r="AP31" s="80"/>
      <x:c r="AQ31" s="80"/>
      <x:c r="AR31" s="80"/>
      <x:c r="AS31" s="80"/>
      <x:c r="AT31" s="80"/>
      <x:c r="AU31" s="80"/>
      <x:c r="AV31" s="80"/>
      <x:c r="AW31" s="80"/>
      <x:c r="AX31" s="80"/>
      <x:c r="AY31" s="80"/>
      <x:c r="AZ31" s="80"/>
    </x:row>
    <x:row r="32">
      <x:c r="A32" s="84" t="str">
        <x:v>E09</x:v>
      </x:c>
      <x:c r="B32" s="85" t="str">
        <x:v>Сервисное ядро</x:v>
      </x:c>
      <x:c r="C32" s="86" t="str">
        <x:v>Ресепшн: здание, инженерия и отделка</x:v>
      </x:c>
      <x:c r="D32" s="85" t="str">
        <x:v>fixed</x:v>
      </x:c>
      <x:c r="E32" s="87" t="n">
        <x:f>IF('Assumptions'!$B$5=4,0.78,1)</x:f>
        <x:v>1</x:v>
      </x:c>
      <x:c r="F32" s="85" t="str">
        <x:v>объект</x:v>
      </x:c>
      <x:c r="G32" s="121" t="n">
        <x:v>4500000</x:v>
      </x:c>
      <x:c r="H32" s="89" t="n">
        <x:f>E32*G32</x:f>
        <x:v>4500000</x:v>
      </x:c>
      <x:c r="I32" s="85" t="str">
        <x:v>ASSUMPTION</x:v>
      </x:c>
      <x:c r="J32" s="85" t="n">
        <x:v>6</x:v>
      </x:c>
      <x:c r="K32" s="90" t="str">
        <x:v>RFQ REQUIRED</x:v>
      </x:c>
      <x:c r="L32" s="80"/>
      <x:c r="M32" s="80"/>
      <x:c r="N32" s="80"/>
      <x:c r="O32" s="80"/>
      <x:c r="P32" s="80"/>
      <x:c r="Q32" s="80"/>
      <x:c r="R32" s="80"/>
      <x:c r="S32" s="80"/>
      <x:c r="T32" s="80"/>
      <x:c r="U32" s="80"/>
      <x:c r="V32" s="80"/>
      <x:c r="W32" s="80"/>
      <x:c r="X32" s="80"/>
      <x:c r="Y32" s="80"/>
      <x:c r="Z32" s="80"/>
      <x:c r="AA32" s="80"/>
      <x:c r="AB32" s="80"/>
      <x:c r="AC32" s="80"/>
      <x:c r="AD32" s="80"/>
      <x:c r="AE32" s="80"/>
      <x:c r="AF32" s="80"/>
      <x:c r="AG32" s="80"/>
      <x:c r="AH32" s="80"/>
      <x:c r="AI32" s="80"/>
      <x:c r="AJ32" s="80"/>
      <x:c r="AK32" s="80"/>
      <x:c r="AL32" s="80"/>
      <x:c r="AM32" s="80"/>
      <x:c r="AN32" s="80"/>
      <x:c r="AO32" s="80"/>
      <x:c r="AP32" s="80"/>
      <x:c r="AQ32" s="80"/>
      <x:c r="AR32" s="80"/>
      <x:c r="AS32" s="80"/>
      <x:c r="AT32" s="80"/>
      <x:c r="AU32" s="80"/>
      <x:c r="AV32" s="80"/>
      <x:c r="AW32" s="80"/>
      <x:c r="AX32" s="80"/>
      <x:c r="AY32" s="80"/>
      <x:c r="AZ32" s="80"/>
    </x:row>
    <x:row r="33">
      <x:c r="A33" s="84" t="str">
        <x:v>E10</x:v>
      </x:c>
      <x:c r="B33" s="85" t="str">
        <x:v>Сервисное ядро</x:v>
      </x:c>
      <x:c r="C33" s="86" t="str">
        <x:v>Прачечная + склад: здание и инженерия</x:v>
      </x:c>
      <x:c r="D33" s="85" t="str">
        <x:v>fixed</x:v>
      </x:c>
      <x:c r="E33" s="87" t="n">
        <x:f>IF('Assumptions'!$B$5=4,0.455,1)</x:f>
        <x:v>1</x:v>
      </x:c>
      <x:c r="F33" s="85" t="str">
        <x:v>объект</x:v>
      </x:c>
      <x:c r="G33" s="121" t="n">
        <x:v>5500000</x:v>
      </x:c>
      <x:c r="H33" s="89" t="n">
        <x:f>E33*G33</x:f>
        <x:v>5500000</x:v>
      </x:c>
      <x:c r="I33" s="85" t="str">
        <x:v>ASSUMPTION</x:v>
      </x:c>
      <x:c r="J33" s="85" t="n">
        <x:v>6</x:v>
      </x:c>
      <x:c r="K33" s="90" t="str">
        <x:v>RFQ REQUIRED</x:v>
      </x:c>
      <x:c r="L33" s="80"/>
      <x:c r="M33" s="80"/>
      <x:c r="N33" s="80"/>
      <x:c r="O33" s="80"/>
      <x:c r="P33" s="80"/>
      <x:c r="Q33" s="80"/>
      <x:c r="R33" s="80"/>
      <x:c r="S33" s="80"/>
      <x:c r="T33" s="80"/>
      <x:c r="U33" s="80"/>
      <x:c r="V33" s="80"/>
      <x:c r="W33" s="80"/>
      <x:c r="X33" s="80"/>
      <x:c r="Y33" s="80"/>
      <x:c r="Z33" s="80"/>
      <x:c r="AA33" s="80"/>
      <x:c r="AB33" s="80"/>
      <x:c r="AC33" s="80"/>
      <x:c r="AD33" s="80"/>
      <x:c r="AE33" s="80"/>
      <x:c r="AF33" s="80"/>
      <x:c r="AG33" s="80"/>
      <x:c r="AH33" s="80"/>
      <x:c r="AI33" s="80"/>
      <x:c r="AJ33" s="80"/>
      <x:c r="AK33" s="80"/>
      <x:c r="AL33" s="80"/>
      <x:c r="AM33" s="80"/>
      <x:c r="AN33" s="80"/>
      <x:c r="AO33" s="80"/>
      <x:c r="AP33" s="80"/>
      <x:c r="AQ33" s="80"/>
      <x:c r="AR33" s="80"/>
      <x:c r="AS33" s="80"/>
      <x:c r="AT33" s="80"/>
      <x:c r="AU33" s="80"/>
      <x:c r="AV33" s="80"/>
      <x:c r="AW33" s="80"/>
      <x:c r="AX33" s="80"/>
      <x:c r="AY33" s="80"/>
      <x:c r="AZ33" s="80"/>
    </x:row>
    <x:row r="34">
      <x:c r="A34" s="84" t="str">
        <x:v>E12</x:v>
      </x:c>
      <x:c r="B34" s="85" t="str">
        <x:v>Общие зоны</x:v>
      </x:c>
      <x:c r="C34" s="86" t="str">
        <x:v>Парковка, въездная группа и шлагбаум</x:v>
      </x:c>
      <x:c r="D34" s="85" t="str">
        <x:v>fixed</x:v>
      </x:c>
      <x:c r="E34" s="87" t="n">
        <x:f>IF('Assumptions'!$B$5=4,0.57,1)</x:f>
        <x:v>1</x:v>
      </x:c>
      <x:c r="F34" s="85" t="str">
        <x:v>пакет</x:v>
      </x:c>
      <x:c r="G34" s="121" t="n">
        <x:v>3500000</x:v>
      </x:c>
      <x:c r="H34" s="89" t="n">
        <x:f>E34*G34</x:f>
        <x:v>3500000</x:v>
      </x:c>
      <x:c r="I34" s="85" t="str">
        <x:v>ASSUMPTION</x:v>
      </x:c>
      <x:c r="J34" s="85" t="n">
        <x:v>8</x:v>
      </x:c>
      <x:c r="K34" s="90" t="str">
        <x:v>RFQ REQUIRED</x:v>
      </x:c>
      <x:c r="L34" s="80"/>
      <x:c r="M34" s="80"/>
      <x:c r="N34" s="80"/>
      <x:c r="O34" s="80"/>
      <x:c r="P34" s="80"/>
      <x:c r="Q34" s="80"/>
      <x:c r="R34" s="80"/>
      <x:c r="S34" s="80"/>
      <x:c r="T34" s="80"/>
      <x:c r="U34" s="80"/>
      <x:c r="V34" s="80"/>
      <x:c r="W34" s="80"/>
      <x:c r="X34" s="80"/>
      <x:c r="Y34" s="80"/>
      <x:c r="Z34" s="80"/>
      <x:c r="AA34" s="80"/>
      <x:c r="AB34" s="80"/>
      <x:c r="AC34" s="80"/>
      <x:c r="AD34" s="80"/>
      <x:c r="AE34" s="80"/>
      <x:c r="AF34" s="80"/>
      <x:c r="AG34" s="80"/>
      <x:c r="AH34" s="80"/>
      <x:c r="AI34" s="80"/>
      <x:c r="AJ34" s="80"/>
      <x:c r="AK34" s="80"/>
      <x:c r="AL34" s="80"/>
      <x:c r="AM34" s="80"/>
      <x:c r="AN34" s="80"/>
      <x:c r="AO34" s="80"/>
      <x:c r="AP34" s="80"/>
      <x:c r="AQ34" s="80"/>
      <x:c r="AR34" s="80"/>
      <x:c r="AS34" s="80"/>
      <x:c r="AT34" s="80"/>
      <x:c r="AU34" s="80"/>
      <x:c r="AV34" s="80"/>
      <x:c r="AW34" s="80"/>
      <x:c r="AX34" s="80"/>
      <x:c r="AY34" s="80"/>
      <x:c r="AZ34" s="80"/>
    </x:row>
    <x:row r="35">
      <x:c r="A35" s="84" t="str">
        <x:v>E13</x:v>
      </x:c>
      <x:c r="B35" s="85" t="str">
        <x:v>Общие зоны</x:v>
      </x:c>
      <x:c r="C35" s="86" t="str">
        <x:v>Озеленение общих зон и навигация · без дорожного света</x:v>
      </x:c>
      <x:c r="D35" s="85" t="str">
        <x:v>fixed</x:v>
      </x:c>
      <x:c r="E35" s="87" t="n">
        <x:f>IF('Assumptions'!$B$5=4,0.4,1)</x:f>
        <x:v>1</x:v>
      </x:c>
      <x:c r="F35" s="85" t="str">
        <x:v>пакет</x:v>
      </x:c>
      <x:c r="G35" s="121" t="n">
        <x:v>3500000</x:v>
      </x:c>
      <x:c r="H35" s="89" t="n">
        <x:f>E35*G35</x:f>
        <x:v>3500000</x:v>
      </x:c>
      <x:c r="I35" s="85" t="str">
        <x:v>ASSUMPTION</x:v>
      </x:c>
      <x:c r="J35" s="85" t="n">
        <x:v>9</x:v>
      </x:c>
      <x:c r="K35" s="90" t="str">
        <x:v>RFQ REQUIRED</x:v>
      </x:c>
      <x:c r="L35" s="80"/>
      <x:c r="M35" s="80"/>
      <x:c r="N35" s="80"/>
      <x:c r="O35" s="80"/>
      <x:c r="P35" s="80"/>
      <x:c r="Q35" s="80"/>
      <x:c r="R35" s="80"/>
      <x:c r="S35" s="80"/>
      <x:c r="T35" s="80"/>
      <x:c r="U35" s="80"/>
      <x:c r="V35" s="80"/>
      <x:c r="W35" s="80"/>
      <x:c r="X35" s="80"/>
      <x:c r="Y35" s="80"/>
      <x:c r="Z35" s="80"/>
      <x:c r="AA35" s="80"/>
      <x:c r="AB35" s="80"/>
      <x:c r="AC35" s="80"/>
      <x:c r="AD35" s="80"/>
      <x:c r="AE35" s="80"/>
      <x:c r="AF35" s="80"/>
      <x:c r="AG35" s="80"/>
      <x:c r="AH35" s="80"/>
      <x:c r="AI35" s="80"/>
      <x:c r="AJ35" s="80"/>
      <x:c r="AK35" s="80"/>
      <x:c r="AL35" s="80"/>
      <x:c r="AM35" s="80"/>
      <x:c r="AN35" s="80"/>
      <x:c r="AO35" s="80"/>
      <x:c r="AP35" s="80"/>
      <x:c r="AQ35" s="80"/>
      <x:c r="AR35" s="80"/>
      <x:c r="AS35" s="80"/>
      <x:c r="AT35" s="80"/>
      <x:c r="AU35" s="80"/>
      <x:c r="AV35" s="80"/>
      <x:c r="AW35" s="80"/>
      <x:c r="AX35" s="80"/>
      <x:c r="AY35" s="80"/>
      <x:c r="AZ35" s="80"/>
    </x:row>
    <x:row r="36">
      <x:c r="A36" s="84" t="str">
        <x:v>E14</x:v>
      </x:c>
      <x:c r="B36" s="85" t="str">
        <x:v>Безопасность и IT</x:v>
      </x:c>
      <x:c r="C36" s="86" t="str">
        <x:v>СКУД, CCTV, Wi-Fi, пожарная и тревожная системы</x:v>
      </x:c>
      <x:c r="D36" s="85" t="str">
        <x:v>fixed</x:v>
      </x:c>
      <x:c r="E36" s="87" t="n">
        <x:f>IF('Assumptions'!$B$5=4,0.5,1)</x:f>
        <x:v>1</x:v>
      </x:c>
      <x:c r="F36" s="85" t="str">
        <x:v>пакет</x:v>
      </x:c>
      <x:c r="G36" s="121" t="n">
        <x:v>3000000</x:v>
      </x:c>
      <x:c r="H36" s="89" t="n">
        <x:f>E36*G36</x:f>
        <x:v>3000000</x:v>
      </x:c>
      <x:c r="I36" s="85" t="str">
        <x:v>ASSUMPTION</x:v>
      </x:c>
      <x:c r="J36" s="85" t="n">
        <x:v>9</x:v>
      </x:c>
      <x:c r="K36" s="90" t="str">
        <x:v>RFQ REQUIRED</x:v>
      </x:c>
      <x:c r="L36" s="80"/>
      <x:c r="M36" s="80"/>
      <x:c r="N36" s="80"/>
      <x:c r="O36" s="80"/>
      <x:c r="P36" s="80"/>
      <x:c r="Q36" s="80"/>
      <x:c r="R36" s="80"/>
      <x:c r="S36" s="80"/>
      <x:c r="T36" s="80"/>
      <x:c r="U36" s="80"/>
      <x:c r="V36" s="80"/>
      <x:c r="W36" s="80"/>
      <x:c r="X36" s="80"/>
      <x:c r="Y36" s="80"/>
      <x:c r="Z36" s="80"/>
      <x:c r="AA36" s="80"/>
      <x:c r="AB36" s="80"/>
      <x:c r="AC36" s="80"/>
      <x:c r="AD36" s="80"/>
      <x:c r="AE36" s="80"/>
      <x:c r="AF36" s="80"/>
      <x:c r="AG36" s="80"/>
      <x:c r="AH36" s="80"/>
      <x:c r="AI36" s="80"/>
      <x:c r="AJ36" s="80"/>
      <x:c r="AK36" s="80"/>
      <x:c r="AL36" s="80"/>
      <x:c r="AM36" s="80"/>
      <x:c r="AN36" s="80"/>
      <x:c r="AO36" s="80"/>
      <x:c r="AP36" s="80"/>
      <x:c r="AQ36" s="80"/>
      <x:c r="AR36" s="80"/>
      <x:c r="AS36" s="80"/>
      <x:c r="AT36" s="80"/>
      <x:c r="AU36" s="80"/>
      <x:c r="AV36" s="80"/>
      <x:c r="AW36" s="80"/>
      <x:c r="AX36" s="80"/>
      <x:c r="AY36" s="80"/>
      <x:c r="AZ36" s="80"/>
    </x:row>
    <x:row r="37">
      <x:c r="A37" s="84" t="str">
        <x:v>E15</x:v>
      </x:c>
      <x:c r="B37" s="85" t="str">
        <x:v>Pre-opening</x:v>
      </x:c>
      <x:c r="C37" s="86" t="str">
        <x:v>Pre-opening: обучение, контент, маркетинговый запуск</x:v>
      </x:c>
      <x:c r="D37" s="85" t="str">
        <x:v>fixed</x:v>
      </x:c>
      <x:c r="E37" s="87" t="n">
        <x:f>IF('Assumptions'!$B$5=4,0.67,1)</x:f>
        <x:v>1</x:v>
      </x:c>
      <x:c r="F37" s="85" t="str">
        <x:v>пакет</x:v>
      </x:c>
      <x:c r="G37" s="121" t="n">
        <x:v>1500000</x:v>
      </x:c>
      <x:c r="H37" s="89" t="n">
        <x:f>E37*G37</x:f>
        <x:v>1500000</x:v>
      </x:c>
      <x:c r="I37" s="85" t="str">
        <x:v>ASSUMPTION</x:v>
      </x:c>
      <x:c r="J37" s="85" t="n">
        <x:v>11</x:v>
      </x:c>
      <x:c r="K37" s="90" t="str">
        <x:v>OPERATIONS / MARKETING PLAN REQUIRED</x:v>
      </x:c>
      <x:c r="L37" s="80"/>
      <x:c r="M37" s="80"/>
      <x:c r="N37" s="80"/>
      <x:c r="O37" s="80"/>
      <x:c r="P37" s="80"/>
      <x:c r="Q37" s="80"/>
      <x:c r="R37" s="80"/>
      <x:c r="S37" s="80"/>
      <x:c r="T37" s="80"/>
      <x:c r="U37" s="80"/>
      <x:c r="V37" s="80"/>
      <x:c r="W37" s="80"/>
      <x:c r="X37" s="80"/>
      <x:c r="Y37" s="80"/>
      <x:c r="Z37" s="80"/>
      <x:c r="AA37" s="80"/>
      <x:c r="AB37" s="80"/>
      <x:c r="AC37" s="80"/>
      <x:c r="AD37" s="80"/>
      <x:c r="AE37" s="80"/>
      <x:c r="AF37" s="80"/>
      <x:c r="AG37" s="80"/>
      <x:c r="AH37" s="80"/>
      <x:c r="AI37" s="80"/>
      <x:c r="AJ37" s="80"/>
      <x:c r="AK37" s="80"/>
      <x:c r="AL37" s="80"/>
      <x:c r="AM37" s="80"/>
      <x:c r="AN37" s="80"/>
      <x:c r="AO37" s="80"/>
      <x:c r="AP37" s="80"/>
      <x:c r="AQ37" s="80"/>
      <x:c r="AR37" s="80"/>
      <x:c r="AS37" s="80"/>
      <x:c r="AT37" s="80"/>
      <x:c r="AU37" s="80"/>
      <x:c r="AV37" s="80"/>
      <x:c r="AW37" s="80"/>
      <x:c r="AX37" s="80"/>
      <x:c r="AY37" s="80"/>
      <x:c r="AZ37" s="80"/>
    </x:row>
    <x:row r="38">
      <x:c r="A38" s="84" t="str">
        <x:v>E16</x:v>
      </x:c>
      <x:c r="B38" s="85" t="str">
        <x:v>Управление стройкой</x:v>
      </x:c>
      <x:c r="C38" s="86" t="str">
        <x:v>Страхование, охрана и временная эксплуатация</x:v>
      </x:c>
      <x:c r="D38" s="85" t="str">
        <x:v>fixed</x:v>
      </x:c>
      <x:c r="E38" s="87" t="n">
        <x:f>IF('Assumptions'!$B$5=4,0.75,1)</x:f>
        <x:v>1</x:v>
      </x:c>
      <x:c r="F38" s="85" t="str">
        <x:v>пакет</x:v>
      </x:c>
      <x:c r="G38" s="121" t="n">
        <x:v>800000</x:v>
      </x:c>
      <x:c r="H38" s="89" t="n">
        <x:f>E38*G38</x:f>
        <x:v>800000</x:v>
      </x:c>
      <x:c r="I38" s="85" t="str">
        <x:v>ASSUMPTION</x:v>
      </x:c>
      <x:c r="J38" s="85" t="n">
        <x:v>3</x:v>
      </x:c>
      <x:c r="K38" s="90" t="str">
        <x:v>RFQ REQUIRED</x:v>
      </x:c>
      <x:c r="L38" s="80"/>
      <x:c r="M38" s="80"/>
      <x:c r="N38" s="80"/>
      <x:c r="O38" s="80"/>
      <x:c r="P38" s="80"/>
      <x:c r="Q38" s="80"/>
      <x:c r="R38" s="80"/>
      <x:c r="S38" s="80"/>
      <x:c r="T38" s="80"/>
      <x:c r="U38" s="80"/>
      <x:c r="V38" s="80"/>
      <x:c r="W38" s="80"/>
      <x:c r="X38" s="80"/>
      <x:c r="Y38" s="80"/>
      <x:c r="Z38" s="80"/>
      <x:c r="AA38" s="80"/>
      <x:c r="AB38" s="80"/>
      <x:c r="AC38" s="80"/>
      <x:c r="AD38" s="80"/>
      <x:c r="AE38" s="80"/>
      <x:c r="AF38" s="80"/>
      <x:c r="AG38" s="80"/>
      <x:c r="AH38" s="80"/>
      <x:c r="AI38" s="80"/>
      <x:c r="AJ38" s="80"/>
      <x:c r="AK38" s="80"/>
      <x:c r="AL38" s="80"/>
      <x:c r="AM38" s="80"/>
      <x:c r="AN38" s="80"/>
      <x:c r="AO38" s="80"/>
      <x:c r="AP38" s="80"/>
      <x:c r="AQ38" s="80"/>
      <x:c r="AR38" s="80"/>
      <x:c r="AS38" s="80"/>
      <x:c r="AT38" s="80"/>
      <x:c r="AU38" s="80"/>
      <x:c r="AV38" s="80"/>
      <x:c r="AW38" s="80"/>
      <x:c r="AX38" s="80"/>
      <x:c r="AY38" s="80"/>
      <x:c r="AZ38" s="80"/>
    </x:row>
    <x:row r="39">
      <x:c r="A39" s="84" t="str">
        <x:v>F01</x:v>
      </x:c>
      <x:c r="B39" s="85" t="str">
        <x:v>Управление стройкой</x:v>
      </x:c>
      <x:c r="C39" s="86" t="str">
        <x:v>Project management и технический надзор</x:v>
      </x:c>
      <x:c r="D39" s="85" t="str">
        <x:v>percent_subtotal</x:v>
      </x:c>
      <x:c r="E39" s="87" t="n">
        <x:f>7%</x:f>
        <x:v>0.07</x:v>
      </x:c>
      <x:c r="F39" s="85" t="str">
        <x:v>% прямого CAPEX</x:v>
      </x:c>
      <x:c r="G39" s="121" t="n">
        <x:v>1</x:v>
      </x:c>
      <x:c r="H39" s="89" t="n">
        <x:f>SUM(H5:H38)*E39</x:f>
        <x:v>10428874.9173</x:v>
      </x:c>
      <x:c r="I39" s="85" t="str">
        <x:v>ASSUMPTION</x:v>
      </x:c>
      <x:c r="J39" s="85" t="n">
        <x:v>1</x:v>
      </x:c>
      <x:c r="K39" s="90" t="str">
        <x:v>OWNER DECISION</x:v>
      </x:c>
      <x:c r="L39" s="80"/>
      <x:c r="M39" s="80"/>
      <x:c r="N39" s="80"/>
      <x:c r="O39" s="80"/>
      <x:c r="P39" s="80"/>
      <x:c r="Q39" s="80"/>
      <x:c r="R39" s="80"/>
      <x:c r="S39" s="80"/>
      <x:c r="T39" s="80"/>
      <x:c r="U39" s="80"/>
      <x:c r="V39" s="80"/>
      <x:c r="W39" s="80"/>
      <x:c r="X39" s="80"/>
      <x:c r="Y39" s="80"/>
      <x:c r="Z39" s="80"/>
      <x:c r="AA39" s="80"/>
      <x:c r="AB39" s="80"/>
      <x:c r="AC39" s="80"/>
      <x:c r="AD39" s="80"/>
      <x:c r="AE39" s="80"/>
      <x:c r="AF39" s="80"/>
      <x:c r="AG39" s="80"/>
      <x:c r="AH39" s="80"/>
      <x:c r="AI39" s="80"/>
      <x:c r="AJ39" s="80"/>
      <x:c r="AK39" s="80"/>
      <x:c r="AL39" s="80"/>
      <x:c r="AM39" s="80"/>
      <x:c r="AN39" s="80"/>
      <x:c r="AO39" s="80"/>
      <x:c r="AP39" s="80"/>
      <x:c r="AQ39" s="80"/>
      <x:c r="AR39" s="80"/>
      <x:c r="AS39" s="80"/>
      <x:c r="AT39" s="80"/>
      <x:c r="AU39" s="80"/>
      <x:c r="AV39" s="80"/>
      <x:c r="AW39" s="80"/>
      <x:c r="AX39" s="80"/>
      <x:c r="AY39" s="80"/>
      <x:c r="AZ39" s="80"/>
    </x:row>
    <x:row r="40">
      <x:c r="A40" s="91" t="str">
        <x:v>F02</x:v>
      </x:c>
      <x:c r="B40" s="92" t="str">
        <x:v>Резерв</x:v>
      </x:c>
      <x:c r="C40" s="93" t="str">
        <x:v>Contingency до завершения BoD/RFQ</x:v>
      </x:c>
      <x:c r="D40" s="92" t="str">
        <x:v>percent_with_pm</x:v>
      </x:c>
      <x:c r="E40" s="94" t="n">
        <x:f>12%</x:f>
        <x:v>0.12</x:v>
      </x:c>
      <x:c r="F40" s="92" t="str">
        <x:v>% CAPEX + PM</x:v>
      </x:c>
      <x:c r="G40" s="122" t="n">
        <x:v>1</x:v>
      </x:c>
      <x:c r="H40" s="96" t="n">
        <x:f>SUM(H5:H39)*E40</x:f>
        <x:v>19129536.276875995</x:v>
      </x:c>
      <x:c r="I40" s="92" t="str">
        <x:v>ASSUMPTION</x:v>
      </x:c>
      <x:c r="J40" s="92" t="n">
        <x:v>1</x:v>
      </x:c>
      <x:c r="K40" s="97" t="str">
        <x:v>OWNER DECISION</x:v>
      </x:c>
      <x:c r="L40" s="80"/>
      <x:c r="M40" s="80"/>
      <x:c r="N40" s="80"/>
      <x:c r="O40" s="80"/>
      <x:c r="P40" s="80"/>
      <x:c r="Q40" s="80"/>
      <x:c r="R40" s="80"/>
      <x:c r="S40" s="80"/>
      <x:c r="T40" s="80"/>
      <x:c r="U40" s="80"/>
      <x:c r="V40" s="80"/>
      <x:c r="W40" s="80"/>
      <x:c r="X40" s="80"/>
      <x:c r="Y40" s="80"/>
      <x:c r="Z40" s="80"/>
      <x:c r="AA40" s="80"/>
      <x:c r="AB40" s="80"/>
      <x:c r="AC40" s="80"/>
      <x:c r="AD40" s="80"/>
      <x:c r="AE40" s="80"/>
      <x:c r="AF40" s="80"/>
      <x:c r="AG40" s="80"/>
      <x:c r="AH40" s="80"/>
      <x:c r="AI40" s="80"/>
      <x:c r="AJ40" s="80"/>
      <x:c r="AK40" s="80"/>
      <x:c r="AL40" s="80"/>
      <x:c r="AM40" s="80"/>
      <x:c r="AN40" s="80"/>
      <x:c r="AO40" s="80"/>
      <x:c r="AP40" s="80"/>
      <x:c r="AQ40" s="80"/>
      <x:c r="AR40" s="80"/>
      <x:c r="AS40" s="80"/>
      <x:c r="AT40" s="80"/>
      <x:c r="AU40" s="80"/>
      <x:c r="AV40" s="80"/>
      <x:c r="AW40" s="80"/>
      <x:c r="AX40" s="80"/>
      <x:c r="AY40" s="80"/>
      <x:c r="AZ40" s="80"/>
    </x:row>
    <x:row r="41">
      <x:c r="A41" s="80"/>
      <x:c r="B41" s="80"/>
      <x:c r="C41" s="80"/>
      <x:c r="D41" s="80"/>
      <x:c r="E41" s="80"/>
      <x:c r="F41" s="80"/>
      <x:c r="G41" s="80"/>
      <x:c r="H41" s="98"/>
      <x:c r="I41" s="80"/>
      <x:c r="J41" s="80"/>
      <x:c r="K41" s="80"/>
      <x:c r="L41" s="80"/>
      <x:c r="M41" s="80"/>
      <x:c r="N41" s="80"/>
      <x:c r="O41" s="80"/>
      <x:c r="P41" s="80"/>
      <x:c r="Q41" s="80"/>
      <x:c r="R41" s="80"/>
      <x:c r="S41" s="80"/>
      <x:c r="T41" s="80"/>
      <x:c r="U41" s="80"/>
      <x:c r="V41" s="80"/>
      <x:c r="W41" s="80"/>
      <x:c r="X41" s="80"/>
      <x:c r="Y41" s="80"/>
      <x:c r="Z41" s="80"/>
      <x:c r="AA41" s="80"/>
      <x:c r="AB41" s="80"/>
      <x:c r="AC41" s="80"/>
      <x:c r="AD41" s="80"/>
      <x:c r="AE41" s="80"/>
      <x:c r="AF41" s="80"/>
      <x:c r="AG41" s="80"/>
      <x:c r="AH41" s="80"/>
      <x:c r="AI41" s="80"/>
      <x:c r="AJ41" s="80"/>
      <x:c r="AK41" s="80"/>
      <x:c r="AL41" s="80"/>
      <x:c r="AM41" s="80"/>
      <x:c r="AN41" s="80"/>
      <x:c r="AO41" s="80"/>
      <x:c r="AP41" s="80"/>
      <x:c r="AQ41" s="80"/>
      <x:c r="AR41" s="80"/>
      <x:c r="AS41" s="80"/>
      <x:c r="AT41" s="80"/>
      <x:c r="AU41" s="80"/>
      <x:c r="AV41" s="80"/>
      <x:c r="AW41" s="80"/>
      <x:c r="AX41" s="80"/>
      <x:c r="AY41" s="80"/>
      <x:c r="AZ41" s="80"/>
    </x:row>
    <x:row r="42">
      <x:c r="A42" s="99" t="str">
        <x:v>TOTAL BUILD CAPEX v0.3</x:v>
      </x:c>
      <x:c r="B42" s="99"/>
      <x:c r="C42" s="99"/>
      <x:c r="D42" s="99"/>
      <x:c r="E42" s="99"/>
      <x:c r="F42" s="99"/>
      <x:c r="G42" s="99"/>
      <x:c r="H42" s="100" t="n">
        <x:f>SUM(H5:H40)</x:f>
        <x:v>178542338.58417597</x:v>
      </x:c>
      <x:c r="I42" s="80"/>
      <x:c r="J42" s="80"/>
      <x:c r="K42" s="80"/>
      <x:c r="L42" s="80"/>
      <x:c r="M42" s="80"/>
      <x:c r="N42" s="80"/>
      <x:c r="O42" s="80"/>
      <x:c r="P42" s="80"/>
      <x:c r="Q42" s="80"/>
      <x:c r="R42" s="80"/>
      <x:c r="S42" s="80"/>
      <x:c r="T42" s="80"/>
      <x:c r="U42" s="80"/>
      <x:c r="V42" s="80"/>
      <x:c r="W42" s="80"/>
      <x:c r="X42" s="80"/>
      <x:c r="Y42" s="80"/>
      <x:c r="Z42" s="80"/>
      <x:c r="AA42" s="80"/>
      <x:c r="AB42" s="80"/>
      <x:c r="AC42" s="80"/>
      <x:c r="AD42" s="80"/>
      <x:c r="AE42" s="80"/>
      <x:c r="AF42" s="80"/>
      <x:c r="AG42" s="80"/>
      <x:c r="AH42" s="80"/>
      <x:c r="AI42" s="80"/>
      <x:c r="AJ42" s="80"/>
      <x:c r="AK42" s="80"/>
      <x:c r="AL42" s="80"/>
      <x:c r="AM42" s="80"/>
      <x:c r="AN42" s="80"/>
      <x:c r="AO42" s="80"/>
      <x:c r="AP42" s="80"/>
      <x:c r="AQ42" s="80"/>
      <x:c r="AR42" s="80"/>
      <x:c r="AS42" s="80"/>
      <x:c r="AT42" s="80"/>
      <x:c r="AU42" s="80"/>
      <x:c r="AV42" s="80"/>
      <x:c r="AW42" s="80"/>
      <x:c r="AX42" s="80"/>
      <x:c r="AY42" s="80"/>
      <x:c r="AZ42" s="80"/>
    </x:row>
  </x:sheetData>
  <x:mergeCells>
    <x:mergeCell ref="A1:K1"/>
    <x:mergeCell ref="A2:K2"/>
    <x:mergeCell ref="A42:G42"/>
  </x:mergeCells>
  <x:pageMargins left="0.7" right="0.7" top="0.75" bottom="0.75" header="0.3" footer="0.3"/>
  <x:tableParts count="1">
    <x:tablePart xmlns:r="http://schemas.openxmlformats.org/officeDocument/2006/relationships" r:id="R1c158a981a9647ce"/>
  </x:tableParts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7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</x:cols>
  <x:sheetData>
    <x:row r="1" ht="32" customHeight="1">
      <x:c r="A1" s="4" t="str">
        <x:v>Build Schedule — календарь платежей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78"/>
      <x:c r="O1" s="78"/>
      <x:c r="P1" s="78"/>
      <x:c r="Q1" s="78"/>
      <x:c r="R1" s="78"/>
      <x:c r="S1" s="78"/>
      <x:c r="T1" s="78"/>
      <x:c r="U1" s="78"/>
      <x:c r="V1" s="78"/>
      <x:c r="W1" s="78"/>
      <x:c r="X1" s="78"/>
      <x:c r="Y1" s="78"/>
      <x:c r="Z1" s="78"/>
      <x:c r="AA1" s="78"/>
      <x:c r="AB1" s="78"/>
      <x:c r="AC1" s="78"/>
      <x:c r="AD1" s="78"/>
      <x:c r="AE1" s="78"/>
      <x:c r="AF1" s="78"/>
      <x:c r="AG1" s="78"/>
      <x:c r="AH1" s="78"/>
      <x:c r="AI1" s="78"/>
      <x:c r="AJ1" s="78"/>
      <x:c r="AK1" s="78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12 месяцев до открытия. Распределение платежей — input assumption, уточняется после договоров.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79"/>
      <x:c r="M2" s="79"/>
      <x:c r="N2" s="80"/>
      <x:c r="O2" s="80"/>
      <x:c r="P2" s="80"/>
      <x:c r="Q2" s="80"/>
      <x:c r="R2" s="80"/>
      <x:c r="S2" s="80"/>
      <x:c r="T2" s="80"/>
      <x:c r="U2" s="80"/>
      <x:c r="V2" s="80"/>
      <x:c r="W2" s="80"/>
      <x:c r="X2" s="80"/>
      <x:c r="Y2" s="80"/>
      <x:c r="Z2" s="80"/>
      <x:c r="AA2" s="80"/>
      <x:c r="AB2" s="80"/>
      <x:c r="AC2" s="80"/>
      <x:c r="AD2" s="80"/>
      <x:c r="AE2" s="80"/>
      <x:c r="AF2" s="80"/>
      <x:c r="AG2" s="80"/>
      <x:c r="AH2" s="80"/>
      <x:c r="AI2" s="80"/>
      <x:c r="AJ2" s="80"/>
      <x:c r="AK2" s="80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 ht="26" customHeight="1">
      <x:c r="A4" s="101" t="str">
        <x:v>Статья</x:v>
      </x:c>
      <x:c r="B4" s="102" t="str">
        <x:v>Build M1</x:v>
      </x:c>
      <x:c r="C4" s="102" t="str">
        <x:v>Build M2</x:v>
      </x:c>
      <x:c r="D4" s="102" t="str">
        <x:v>Build M3</x:v>
      </x:c>
      <x:c r="E4" s="102" t="str">
        <x:v>Build M4</x:v>
      </x:c>
      <x:c r="F4" s="102" t="str">
        <x:v>Build M5</x:v>
      </x:c>
      <x:c r="G4" s="102" t="str">
        <x:v>Build M6</x:v>
      </x:c>
      <x:c r="H4" s="102" t="str">
        <x:v>Build M7</x:v>
      </x:c>
      <x:c r="I4" s="102" t="str">
        <x:v>Build M8</x:v>
      </x:c>
      <x:c r="J4" s="102" t="str">
        <x:v>Build M9</x:v>
      </x:c>
      <x:c r="K4" s="102" t="str">
        <x:v>Build M10</x:v>
      </x:c>
      <x:c r="L4" s="102" t="str">
        <x:v>Build M11</x:v>
      </x:c>
      <x:c r="M4" s="103" t="str">
        <x:v>Build M12</x:v>
      </x:c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>
      <x:c r="A5" s="104" t="str">
        <x:v>A01 · Дом MODERN 42,5 · Эконом</x:v>
      </x:c>
      <x:c r="B5" s="98" t="n">
        <x:f>0</x:f>
        <x:v>0</x:v>
      </x:c>
      <x:c r="C5" s="98" t="n">
        <x:f>0</x:f>
        <x:v>0</x:v>
      </x:c>
      <x:c r="D5" s="98" t="n">
        <x:f>0</x:f>
        <x:v>0</x:v>
      </x:c>
      <x:c r="E5" s="98" t="n">
        <x:f>0</x:f>
        <x:v>0</x:v>
      </x:c>
      <x:c r="F5" s="98" t="n">
        <x:f>'Build_CAPEX'!$H$5*0.3</x:f>
        <x:v>1158000</x:v>
      </x:c>
      <x:c r="G5" s="98" t="n">
        <x:f>'Build_CAPEX'!$H$5*0.4</x:f>
        <x:v>1544000</x:v>
      </x:c>
      <x:c r="H5" s="98" t="n">
        <x:f>'Build_CAPEX'!$H$5*0.2</x:f>
        <x:v>772000</x:v>
      </x:c>
      <x:c r="I5" s="98" t="n">
        <x:f>'Build_CAPEX'!$H$5*0.1</x:f>
        <x:v>386000</x:v>
      </x:c>
      <x:c r="J5" s="98" t="n">
        <x:f>0</x:f>
        <x:v>0</x:v>
      </x:c>
      <x:c r="K5" s="98" t="n">
        <x:f>0</x:f>
        <x:v>0</x:v>
      </x:c>
      <x:c r="L5" s="98" t="n">
        <x:f>0</x:f>
        <x:v>0</x:v>
      </x:c>
      <x:c r="M5" s="98" t="n">
        <x:f>0</x:f>
        <x:v>0</x:v>
      </x:c>
      <x:c r="N5" s="80"/>
      <x:c r="O5" s="80"/>
      <x:c r="P5" s="80"/>
      <x:c r="Q5" s="80"/>
      <x:c r="R5" s="80"/>
      <x:c r="S5" s="80"/>
      <x:c r="T5" s="80"/>
      <x:c r="U5" s="80"/>
      <x:c r="V5" s="80"/>
      <x:c r="W5" s="80"/>
      <x:c r="X5" s="80"/>
      <x:c r="Y5" s="80"/>
      <x:c r="Z5" s="80"/>
      <x:c r="AA5" s="80"/>
      <x:c r="AB5" s="80"/>
      <x:c r="AC5" s="80"/>
      <x:c r="AD5" s="80"/>
      <x:c r="AE5" s="80"/>
      <x:c r="AF5" s="80"/>
      <x:c r="AG5" s="80"/>
      <x:c r="AH5" s="80"/>
      <x:c r="AI5" s="80"/>
      <x:c r="AJ5" s="80"/>
      <x:c r="AK5" s="80"/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104" t="str">
        <x:v>A02 · Дом MODERN 60 · Стандарт</x:v>
      </x:c>
      <x:c r="B6" s="98" t="n">
        <x:f>0</x:f>
        <x:v>0</x:v>
      </x:c>
      <x:c r="C6" s="98" t="n">
        <x:f>0</x:f>
        <x:v>0</x:v>
      </x:c>
      <x:c r="D6" s="98" t="n">
        <x:f>0</x:f>
        <x:v>0</x:v>
      </x:c>
      <x:c r="E6" s="98" t="n">
        <x:f>0</x:f>
        <x:v>0</x:v>
      </x:c>
      <x:c r="F6" s="98" t="n">
        <x:f>'Build_CAPEX'!$H$6*0.3</x:f>
        <x:v>3442500</x:v>
      </x:c>
      <x:c r="G6" s="98" t="n">
        <x:f>'Build_CAPEX'!$H$6*0.4</x:f>
        <x:v>4590000</x:v>
      </x:c>
      <x:c r="H6" s="98" t="n">
        <x:f>'Build_CAPEX'!$H$6*0.2</x:f>
        <x:v>2295000</x:v>
      </x:c>
      <x:c r="I6" s="98" t="n">
        <x:f>'Build_CAPEX'!$H$6*0.1</x:f>
        <x:v>1147500</x:v>
      </x:c>
      <x:c r="J6" s="98" t="n">
        <x:f>0</x:f>
        <x:v>0</x:v>
      </x:c>
      <x:c r="K6" s="98" t="n">
        <x:f>0</x:f>
        <x:v>0</x:v>
      </x:c>
      <x:c r="L6" s="98" t="n">
        <x:f>0</x:f>
        <x:v>0</x:v>
      </x:c>
      <x:c r="M6" s="98" t="n">
        <x:f>0</x:f>
        <x:v>0</x:v>
      </x:c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104" t="str">
        <x:v>A03 · Дом MODERN 135 · Люкс</x:v>
      </x:c>
      <x:c r="B7" s="98" t="n">
        <x:f>0</x:f>
        <x:v>0</x:v>
      </x:c>
      <x:c r="C7" s="98" t="n">
        <x:f>0</x:f>
        <x:v>0</x:v>
      </x:c>
      <x:c r="D7" s="98" t="n">
        <x:f>0</x:f>
        <x:v>0</x:v>
      </x:c>
      <x:c r="E7" s="98" t="n">
        <x:f>0</x:f>
        <x:v>0</x:v>
      </x:c>
      <x:c r="F7" s="98" t="n">
        <x:f>'Build_CAPEX'!$H$7*0.3</x:f>
        <x:v>2940000</x:v>
      </x:c>
      <x:c r="G7" s="98" t="n">
        <x:f>'Build_CAPEX'!$H$7*0.4</x:f>
        <x:v>3920000</x:v>
      </x:c>
      <x:c r="H7" s="98" t="n">
        <x:f>'Build_CAPEX'!$H$7*0.2</x:f>
        <x:v>1960000</x:v>
      </x:c>
      <x:c r="I7" s="98" t="n">
        <x:f>'Build_CAPEX'!$H$7*0.1</x:f>
        <x:v>980000</x:v>
      </x:c>
      <x:c r="J7" s="98" t="n">
        <x:f>0</x:f>
        <x:v>0</x:v>
      </x:c>
      <x:c r="K7" s="98" t="n">
        <x:f>0</x:f>
        <x:v>0</x:v>
      </x:c>
      <x:c r="L7" s="98" t="n">
        <x:f>0</x:f>
        <x:v>0</x:v>
      </x:c>
      <x:c r="M7" s="98" t="n">
        <x:f>0</x:f>
        <x:v>0</x:v>
      </x:c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104" t="str">
        <x:v>A04 · Баня Nord Modern 1 · Стандарт</x:v>
      </x:c>
      <x:c r="B8" s="98" t="n">
        <x:f>0</x:f>
        <x:v>0</x:v>
      </x:c>
      <x:c r="C8" s="98" t="n">
        <x:f>0</x:f>
        <x:v>0</x:v>
      </x:c>
      <x:c r="D8" s="98" t="n">
        <x:f>0</x:f>
        <x:v>0</x:v>
      </x:c>
      <x:c r="E8" s="98" t="n">
        <x:f>0</x:f>
        <x:v>0</x:v>
      </x:c>
      <x:c r="F8" s="98" t="n">
        <x:f>0</x:f>
        <x:v>0</x:v>
      </x:c>
      <x:c r="G8" s="98" t="n">
        <x:f>'Build_CAPEX'!$H$8*0.4</x:f>
        <x:v>2010000</x:v>
      </x:c>
      <x:c r="H8" s="98" t="n">
        <x:f>'Build_CAPEX'!$H$8*0.4</x:f>
        <x:v>2010000</x:v>
      </x:c>
      <x:c r="I8" s="98" t="n">
        <x:f>'Build_CAPEX'!$H$8*0.2</x:f>
        <x:v>1005000</x:v>
      </x:c>
      <x:c r="J8" s="98" t="n">
        <x:f>0</x:f>
        <x:v>0</x:v>
      </x:c>
      <x:c r="K8" s="98" t="n">
        <x:f>0</x:f>
        <x:v>0</x:v>
      </x:c>
      <x:c r="L8" s="98" t="n">
        <x:f>0</x:f>
        <x:v>0</x:v>
      </x:c>
      <x:c r="M8" s="98" t="n">
        <x:f>0</x:f>
        <x:v>0</x:v>
      </x:c>
      <x:c r="N8" s="80"/>
      <x:c r="O8" s="80"/>
      <x:c r="P8" s="80"/>
      <x:c r="Q8" s="80"/>
      <x:c r="R8" s="80"/>
      <x:c r="S8" s="80"/>
      <x:c r="T8" s="80"/>
      <x:c r="U8" s="80"/>
      <x:c r="V8" s="80"/>
      <x:c r="W8" s="80"/>
      <x:c r="X8" s="80"/>
      <x:c r="Y8" s="80"/>
      <x:c r="Z8" s="80"/>
      <x:c r="AA8" s="80"/>
      <x:c r="AB8" s="80"/>
      <x:c r="AC8" s="80"/>
      <x:c r="AD8" s="80"/>
      <x:c r="AE8" s="80"/>
      <x:c r="AF8" s="80"/>
      <x:c r="AG8" s="80"/>
      <x:c r="AH8" s="80"/>
      <x:c r="AI8" s="80"/>
      <x:c r="AJ8" s="80"/>
      <x:c r="AK8" s="80"/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104" t="str">
        <x:v>A05 · Баня Nord Skandi 3 · Люкс</x:v>
      </x:c>
      <x:c r="B9" s="98" t="n">
        <x:f>0</x:f>
        <x:v>0</x:v>
      </x:c>
      <x:c r="C9" s="98" t="n">
        <x:f>0</x:f>
        <x:v>0</x:v>
      </x:c>
      <x:c r="D9" s="98" t="n">
        <x:f>0</x:f>
        <x:v>0</x:v>
      </x:c>
      <x:c r="E9" s="98" t="n">
        <x:f>0</x:f>
        <x:v>0</x:v>
      </x:c>
      <x:c r="F9" s="98" t="n">
        <x:f>0</x:f>
        <x:v>0</x:v>
      </x:c>
      <x:c r="G9" s="98" t="n">
        <x:f>'Build_CAPEX'!$H$9*0.4</x:f>
        <x:v>1422400</x:v>
      </x:c>
      <x:c r="H9" s="98" t="n">
        <x:f>'Build_CAPEX'!$H$9*0.4</x:f>
        <x:v>1422400</x:v>
      </x:c>
      <x:c r="I9" s="98" t="n">
        <x:f>'Build_CAPEX'!$H$9*0.2</x:f>
        <x:v>711200</x:v>
      </x:c>
      <x:c r="J9" s="98" t="n">
        <x:f>0</x:f>
        <x:v>0</x:v>
      </x:c>
      <x:c r="K9" s="98" t="n">
        <x:f>0</x:f>
        <x:v>0</x:v>
      </x:c>
      <x:c r="L9" s="98" t="n">
        <x:f>0</x:f>
        <x:v>0</x:v>
      </x:c>
      <x:c r="M9" s="98" t="n">
        <x:f>0</x:f>
        <x:v>0</x:v>
      </x:c>
      <x:c r="N9" s="80"/>
      <x:c r="O9" s="80"/>
      <x:c r="P9" s="80"/>
      <x:c r="Q9" s="80"/>
      <x:c r="R9" s="80"/>
      <x:c r="S9" s="80"/>
      <x:c r="T9" s="80"/>
      <x:c r="U9" s="80"/>
      <x:c r="V9" s="80"/>
      <x:c r="W9" s="80"/>
      <x:c r="X9" s="80"/>
      <x:c r="Y9" s="80"/>
      <x:c r="Z9" s="80"/>
      <x:c r="AA9" s="80"/>
      <x:c r="AB9" s="80"/>
      <x:c r="AC9" s="80"/>
      <x:c r="AD9" s="80"/>
      <x:c r="AE9" s="80"/>
      <x:c r="AF9" s="80"/>
      <x:c r="AG9" s="80"/>
      <x:c r="AH9" s="80"/>
      <x:c r="AI9" s="80"/>
      <x:c r="AJ9" s="80"/>
      <x:c r="AK9" s="80"/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104" t="str">
        <x:v>A06 · Чан Junior · Эконом</x:v>
      </x:c>
      <x:c r="B10" s="98" t="n">
        <x:f>0</x:f>
        <x:v>0</x:v>
      </x:c>
      <x:c r="C10" s="98" t="n">
        <x:f>0</x:f>
        <x:v>0</x:v>
      </x:c>
      <x:c r="D10" s="98" t="n">
        <x:f>0</x:f>
        <x:v>0</x:v>
      </x:c>
      <x:c r="E10" s="98" t="n">
        <x:f>0</x:f>
        <x:v>0</x:v>
      </x:c>
      <x:c r="F10" s="98" t="n">
        <x:f>0</x:f>
        <x:v>0</x:v>
      </x:c>
      <x:c r="G10" s="98" t="n">
        <x:f>0</x:f>
        <x:v>0</x:v>
      </x:c>
      <x:c r="H10" s="98" t="n">
        <x:f>0</x:f>
        <x:v>0</x:v>
      </x:c>
      <x:c r="I10" s="98" t="n">
        <x:f>'Build_CAPEX'!$H$10*0.5</x:f>
        <x:v>145000</x:v>
      </x:c>
      <x:c r="J10" s="98" t="n">
        <x:f>'Build_CAPEX'!$H$10*0.5</x:f>
        <x:v>145000</x:v>
      </x:c>
      <x:c r="K10" s="98" t="n">
        <x:f>0</x:f>
        <x:v>0</x:v>
      </x:c>
      <x:c r="L10" s="98" t="n">
        <x:f>0</x:f>
        <x:v>0</x:v>
      </x:c>
      <x:c r="M10" s="98" t="n">
        <x:f>0</x:f>
        <x:v>0</x:v>
      </x:c>
      <x:c r="N10" s="80"/>
      <x:c r="O10" s="80"/>
      <x:c r="P10" s="80"/>
      <x:c r="Q10" s="80"/>
      <x:c r="R10" s="80"/>
      <x:c r="S10" s="80"/>
      <x:c r="T10" s="80"/>
      <x:c r="U10" s="80"/>
      <x:c r="V10" s="80"/>
      <x:c r="W10" s="80"/>
      <x:c r="X10" s="80"/>
      <x:c r="Y10" s="80"/>
      <x:c r="Z10" s="80"/>
      <x:c r="AA10" s="80"/>
      <x:c r="AB10" s="80"/>
      <x:c r="AC10" s="80"/>
      <x:c r="AD10" s="80"/>
      <x:c r="AE10" s="80"/>
      <x:c r="AF10" s="80"/>
      <x:c r="AG10" s="80"/>
      <x:c r="AH10" s="80"/>
      <x:c r="AI10" s="80"/>
      <x:c r="AJ10" s="80"/>
      <x:c r="AK10" s="80"/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104" t="str">
        <x:v>A07 · Чан Standi · Стандарт/Люкс</x:v>
      </x:c>
      <x:c r="B11" s="98" t="n">
        <x:f>0</x:f>
        <x:v>0</x:v>
      </x:c>
      <x:c r="C11" s="98" t="n">
        <x:f>0</x:f>
        <x:v>0</x:v>
      </x:c>
      <x:c r="D11" s="98" t="n">
        <x:f>0</x:f>
        <x:v>0</x:v>
      </x:c>
      <x:c r="E11" s="98" t="n">
        <x:f>0</x:f>
        <x:v>0</x:v>
      </x:c>
      <x:c r="F11" s="98" t="n">
        <x:f>0</x:f>
        <x:v>0</x:v>
      </x:c>
      <x:c r="G11" s="98" t="n">
        <x:f>0</x:f>
        <x:v>0</x:v>
      </x:c>
      <x:c r="H11" s="98" t="n">
        <x:f>0</x:f>
        <x:v>0</x:v>
      </x:c>
      <x:c r="I11" s="98" t="n">
        <x:f>'Build_CAPEX'!$H$11*0.5</x:f>
        <x:v>647500</x:v>
      </x:c>
      <x:c r="J11" s="98" t="n">
        <x:f>'Build_CAPEX'!$H$11*0.5</x:f>
        <x:v>647500</x:v>
      </x:c>
      <x:c r="K11" s="98" t="n">
        <x:f>0</x:f>
        <x:v>0</x:v>
      </x:c>
      <x:c r="L11" s="98" t="n">
        <x:f>0</x:f>
        <x:v>0</x:v>
      </x:c>
      <x:c r="M11" s="98" t="n">
        <x:f>0</x:f>
        <x:v>0</x:v>
      </x:c>
      <x:c r="N11" s="80"/>
      <x:c r="O11" s="80"/>
      <x:c r="P11" s="80"/>
      <x:c r="Q11" s="80"/>
      <x:c r="R11" s="80"/>
      <x:c r="S11" s="80"/>
      <x:c r="T11" s="80"/>
      <x:c r="U11" s="80"/>
      <x:c r="V11" s="80"/>
      <x:c r="W11" s="80"/>
      <x:c r="X11" s="80"/>
      <x:c r="Y11" s="80"/>
      <x:c r="Z11" s="80"/>
      <x:c r="AA11" s="80"/>
      <x:c r="AB11" s="80"/>
      <x:c r="AC11" s="80"/>
      <x:c r="AD11" s="80"/>
      <x:c r="AE11" s="80"/>
      <x:c r="AF11" s="80"/>
      <x:c r="AG11" s="80"/>
      <x:c r="AH11" s="80"/>
      <x:c r="AI11" s="80"/>
      <x:c r="AJ11" s="80"/>
      <x:c r="AK11" s="80"/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104" t="str">
        <x:v>A08 · Комплект аксессуаров чана</x:v>
      </x:c>
      <x:c r="B12" s="98" t="n">
        <x:f>0</x:f>
        <x:v>0</x:v>
      </x:c>
      <x:c r="C12" s="98" t="n">
        <x:f>0</x:f>
        <x:v>0</x:v>
      </x:c>
      <x:c r="D12" s="98" t="n">
        <x:f>0</x:f>
        <x:v>0</x:v>
      </x:c>
      <x:c r="E12" s="98" t="n">
        <x:f>0</x:f>
        <x:v>0</x:v>
      </x:c>
      <x:c r="F12" s="98" t="n">
        <x:f>0</x:f>
        <x:v>0</x:v>
      </x:c>
      <x:c r="G12" s="98" t="n">
        <x:f>0</x:f>
        <x:v>0</x:v>
      </x:c>
      <x:c r="H12" s="98" t="n">
        <x:f>0</x:f>
        <x:v>0</x:v>
      </x:c>
      <x:c r="I12" s="98" t="n">
        <x:f>0</x:f>
        <x:v>0</x:v>
      </x:c>
      <x:c r="J12" s="98" t="n">
        <x:f>'Build_CAPEX'!$H$12*1</x:f>
        <x:v>405000</x:v>
      </x:c>
      <x:c r="K12" s="98" t="n">
        <x:f>0</x:f>
        <x:v>0</x:v>
      </x:c>
      <x:c r="L12" s="98" t="n">
        <x:f>0</x:f>
        <x:v>0</x:v>
      </x:c>
      <x:c r="M12" s="98" t="n">
        <x:f>0</x:f>
        <x:v>0</x:v>
      </x:c>
      <x:c r="N12" s="80"/>
      <x:c r="O12" s="80"/>
      <x:c r="P12" s="80"/>
      <x:c r="Q12" s="80"/>
      <x:c r="R12" s="80"/>
      <x:c r="S12" s="80"/>
      <x:c r="T12" s="80"/>
      <x:c r="U12" s="80"/>
      <x:c r="V12" s="80"/>
      <x:c r="W12" s="80"/>
      <x:c r="X12" s="80"/>
      <x:c r="Y12" s="80"/>
      <x:c r="Z12" s="80"/>
      <x:c r="AA12" s="80"/>
      <x:c r="AB12" s="80"/>
      <x:c r="AC12" s="80"/>
      <x:c r="AD12" s="80"/>
      <x:c r="AE12" s="80"/>
      <x:c r="AF12" s="80"/>
      <x:c r="AG12" s="80"/>
      <x:c r="AH12" s="80"/>
      <x:c r="AI12" s="80"/>
      <x:c r="AJ12" s="80"/>
      <x:c r="AK12" s="80"/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>
      <x:c r="A13" s="104" t="str">
        <x:v>B01 · Доставка, разгрузка и кран</x:v>
      </x:c>
      <x:c r="B13" s="98" t="n">
        <x:f>0</x:f>
        <x:v>0</x:v>
      </x:c>
      <x:c r="C13" s="98" t="n">
        <x:f>0</x:f>
        <x:v>0</x:v>
      </x:c>
      <x:c r="D13" s="98" t="n">
        <x:f>0</x:f>
        <x:v>0</x:v>
      </x:c>
      <x:c r="E13" s="98" t="n">
        <x:f>0</x:f>
        <x:v>0</x:v>
      </x:c>
      <x:c r="F13" s="98" t="n">
        <x:f>0</x:f>
        <x:v>0</x:v>
      </x:c>
      <x:c r="G13" s="98" t="n">
        <x:f>'Build_CAPEX'!$H$13*0.5</x:f>
        <x:v>2025000</x:v>
      </x:c>
      <x:c r="H13" s="98" t="n">
        <x:f>'Build_CAPEX'!$H$13*0.5</x:f>
        <x:v>2025000</x:v>
      </x:c>
      <x:c r="I13" s="98" t="n">
        <x:f>0</x:f>
        <x:v>0</x:v>
      </x:c>
      <x:c r="J13" s="98" t="n">
        <x:f>0</x:f>
        <x:v>0</x:v>
      </x:c>
      <x:c r="K13" s="98" t="n">
        <x:f>0</x:f>
        <x:v>0</x:v>
      </x:c>
      <x:c r="L13" s="98" t="n">
        <x:f>0</x:f>
        <x:v>0</x:v>
      </x:c>
      <x:c r="M13" s="98" t="n">
        <x:f>0</x:f>
        <x:v>0</x:v>
      </x:c>
      <x:c r="N13" s="80"/>
      <x:c r="O13" s="80"/>
      <x:c r="P13" s="80"/>
      <x:c r="Q13" s="80"/>
      <x:c r="R13" s="80"/>
      <x:c r="S13" s="80"/>
      <x:c r="T13" s="80"/>
      <x:c r="U13" s="80"/>
      <x:c r="V13" s="80"/>
      <x:c r="W13" s="80"/>
      <x:c r="X13" s="80"/>
      <x:c r="Y13" s="80"/>
      <x:c r="Z13" s="80"/>
      <x:c r="AA13" s="80"/>
      <x:c r="AB13" s="80"/>
      <x:c r="AC13" s="80"/>
      <x:c r="AD13" s="80"/>
      <x:c r="AE13" s="80"/>
      <x:c r="AF13" s="80"/>
      <x:c r="AG13" s="80"/>
      <x:c r="AH13" s="80"/>
      <x:c r="AI13" s="80"/>
      <x:c r="AJ13" s="80"/>
      <x:c r="AK13" s="80"/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>
      <x:c r="A14" s="104" t="str">
        <x:v>B02 · Свайное основание дома/бани</x:v>
      </x:c>
      <x:c r="B14" s="98" t="n">
        <x:f>0</x:f>
        <x:v>0</x:v>
      </x:c>
      <x:c r="C14" s="98" t="n">
        <x:f>0</x:f>
        <x:v>0</x:v>
      </x:c>
      <x:c r="D14" s="98" t="n">
        <x:f>0</x:f>
        <x:v>0</x:v>
      </x:c>
      <x:c r="E14" s="98" t="n">
        <x:f>'Build_CAPEX'!$H$14*0.5</x:f>
        <x:v>1890000</x:v>
      </x:c>
      <x:c r="F14" s="98" t="n">
        <x:f>'Build_CAPEX'!$H$14*0.5</x:f>
        <x:v>1890000</x:v>
      </x:c>
      <x:c r="G14" s="98" t="n">
        <x:f>0</x:f>
        <x:v>0</x:v>
      </x:c>
      <x:c r="H14" s="98" t="n">
        <x:f>0</x:f>
        <x:v>0</x:v>
      </x:c>
      <x:c r="I14" s="98" t="n">
        <x:f>0</x:f>
        <x:v>0</x:v>
      </x:c>
      <x:c r="J14" s="98" t="n">
        <x:f>0</x:f>
        <x:v>0</x:v>
      </x:c>
      <x:c r="K14" s="98" t="n">
        <x:f>0</x:f>
        <x:v>0</x:v>
      </x:c>
      <x:c r="L14" s="98" t="n">
        <x:f>0</x:f>
        <x:v>0</x:v>
      </x:c>
      <x:c r="M14" s="98" t="n">
        <x:f>0</x:f>
        <x:v>0</x:v>
      </x:c>
      <x:c r="N14" s="80"/>
      <x:c r="O14" s="80"/>
      <x:c r="P14" s="80"/>
      <x:c r="Q14" s="80"/>
      <x:c r="R14" s="80"/>
      <x:c r="S14" s="80"/>
      <x:c r="T14" s="80"/>
      <x:c r="U14" s="80"/>
      <x:c r="V14" s="80"/>
      <x:c r="W14" s="80"/>
      <x:c r="X14" s="80"/>
      <x:c r="Y14" s="80"/>
      <x:c r="Z14" s="80"/>
      <x:c r="AA14" s="80"/>
      <x:c r="AB14" s="80"/>
      <x:c r="AC14" s="80"/>
      <x:c r="AD14" s="80"/>
      <x:c r="AE14" s="80"/>
      <x:c r="AF14" s="80"/>
      <x:c r="AG14" s="80"/>
      <x:c r="AH14" s="80"/>
      <x:c r="AI14" s="80"/>
      <x:c r="AJ14" s="80"/>
      <x:c r="AK14" s="80"/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  <x:row r="15">
      <x:c r="A15" s="104" t="str">
        <x:v>B03 · Монтаж, герметизация и пусконаладка</x:v>
      </x:c>
      <x:c r="B15" s="98" t="n">
        <x:f>0</x:f>
        <x:v>0</x:v>
      </x:c>
      <x:c r="C15" s="98" t="n">
        <x:f>0</x:f>
        <x:v>0</x:v>
      </x:c>
      <x:c r="D15" s="98" t="n">
        <x:f>0</x:f>
        <x:v>0</x:v>
      </x:c>
      <x:c r="E15" s="98" t="n">
        <x:f>0</x:f>
        <x:v>0</x:v>
      </x:c>
      <x:c r="F15" s="98" t="n">
        <x:f>0</x:f>
        <x:v>0</x:v>
      </x:c>
      <x:c r="G15" s="98" t="n">
        <x:f>0</x:f>
        <x:v>0</x:v>
      </x:c>
      <x:c r="H15" s="98" t="n">
        <x:f>0</x:f>
        <x:v>0</x:v>
      </x:c>
      <x:c r="I15" s="98" t="n">
        <x:f>'Build_CAPEX'!$H$15*0.6</x:f>
        <x:v>1404000</x:v>
      </x:c>
      <x:c r="J15" s="98" t="n">
        <x:f>'Build_CAPEX'!$H$15*0.4</x:f>
        <x:v>936000</x:v>
      </x:c>
      <x:c r="K15" s="98" t="n">
        <x:f>0</x:f>
        <x:v>0</x:v>
      </x:c>
      <x:c r="L15" s="98" t="n">
        <x:f>0</x:f>
        <x:v>0</x:v>
      </x:c>
      <x:c r="M15" s="98" t="n">
        <x:f>0</x:f>
        <x:v>0</x:v>
      </x:c>
      <x:c r="N15" s="80"/>
      <x:c r="O15" s="80"/>
      <x:c r="P15" s="80"/>
      <x:c r="Q15" s="80"/>
      <x:c r="R15" s="80"/>
      <x:c r="S15" s="80"/>
      <x:c r="T15" s="80"/>
      <x:c r="U15" s="80"/>
      <x:c r="V15" s="80"/>
      <x:c r="W15" s="80"/>
      <x:c r="X15" s="80"/>
      <x:c r="Y15" s="80"/>
      <x:c r="Z15" s="80"/>
      <x:c r="AA15" s="80"/>
      <x:c r="AB15" s="80"/>
      <x:c r="AC15" s="80"/>
      <x:c r="AD15" s="80"/>
      <x:c r="AE15" s="80"/>
      <x:c r="AF15" s="80"/>
      <x:c r="AG15" s="80"/>
      <x:c r="AH15" s="80"/>
      <x:c r="AI15" s="80"/>
      <x:c r="AJ15" s="80"/>
      <x:c r="AK15" s="80"/>
      <x:c r="AL15" s="80"/>
      <x:c r="AM15" s="80"/>
      <x:c r="AN15" s="80"/>
      <x:c r="AO15" s="80"/>
      <x:c r="AP15" s="80"/>
      <x:c r="AQ15" s="80"/>
      <x:c r="AR15" s="80"/>
      <x:c r="AS15" s="80"/>
      <x:c r="AT15" s="80"/>
      <x:c r="AU15" s="80"/>
      <x:c r="AV15" s="80"/>
      <x:c r="AW15" s="80"/>
      <x:c r="AX15" s="80"/>
      <x:c r="AY15" s="80"/>
      <x:c r="AZ15" s="80"/>
    </x:row>
    <x:row r="16">
      <x:c r="A16" s="104" t="str">
        <x:v>C01 · Мебель, техника и текстиль · Эконом</x:v>
      </x:c>
      <x:c r="B16" s="98" t="n">
        <x:f>0</x:f>
        <x:v>0</x:v>
      </x:c>
      <x:c r="C16" s="98" t="n">
        <x:f>0</x:f>
        <x:v>0</x:v>
      </x:c>
      <x:c r="D16" s="98" t="n">
        <x:f>0</x:f>
        <x:v>0</x:v>
      </x:c>
      <x:c r="E16" s="98" t="n">
        <x:f>0</x:f>
        <x:v>0</x:v>
      </x:c>
      <x:c r="F16" s="98" t="n">
        <x:f>0</x:f>
        <x:v>0</x:v>
      </x:c>
      <x:c r="G16" s="98" t="n">
        <x:f>0</x:f>
        <x:v>0</x:v>
      </x:c>
      <x:c r="H16" s="98" t="n">
        <x:f>0</x:f>
        <x:v>0</x:v>
      </x:c>
      <x:c r="I16" s="98" t="n">
        <x:f>0</x:f>
        <x:v>0</x:v>
      </x:c>
      <x:c r="J16" s="98" t="n">
        <x:f>'Build_CAPEX'!$H$16*0.5</x:f>
        <x:v>1296876.21</x:v>
      </x:c>
      <x:c r="K16" s="98" t="n">
        <x:f>'Build_CAPEX'!$H$16*0.5</x:f>
        <x:v>1296876.21</x:v>
      </x:c>
      <x:c r="L16" s="98" t="n">
        <x:f>0</x:f>
        <x:v>0</x:v>
      </x:c>
      <x:c r="M16" s="98" t="n">
        <x:f>0</x:f>
        <x:v>0</x:v>
      </x:c>
      <x:c r="N16" s="80"/>
      <x:c r="O16" s="80"/>
      <x:c r="P16" s="80"/>
      <x:c r="Q16" s="80"/>
      <x:c r="R16" s="80"/>
      <x:c r="S16" s="80"/>
      <x:c r="T16" s="80"/>
      <x:c r="U16" s="80"/>
      <x:c r="V16" s="80"/>
      <x:c r="W16" s="80"/>
      <x:c r="X16" s="80"/>
      <x:c r="Y16" s="80"/>
      <x:c r="Z16" s="80"/>
      <x:c r="AA16" s="80"/>
      <x:c r="AB16" s="80"/>
      <x:c r="AC16" s="80"/>
      <x:c r="AD16" s="80"/>
      <x:c r="AE16" s="80"/>
      <x:c r="AF16" s="80"/>
      <x:c r="AG16" s="80"/>
      <x:c r="AH16" s="80"/>
      <x:c r="AI16" s="80"/>
      <x:c r="AJ16" s="80"/>
      <x:c r="AK16" s="80"/>
      <x:c r="AL16" s="80"/>
      <x:c r="AM16" s="80"/>
      <x:c r="AN16" s="80"/>
      <x:c r="AO16" s="80"/>
      <x:c r="AP16" s="80"/>
      <x:c r="AQ16" s="80"/>
      <x:c r="AR16" s="80"/>
      <x:c r="AS16" s="80"/>
      <x:c r="AT16" s="80"/>
      <x:c r="AU16" s="80"/>
      <x:c r="AV16" s="80"/>
      <x:c r="AW16" s="80"/>
      <x:c r="AX16" s="80"/>
      <x:c r="AY16" s="80"/>
      <x:c r="AZ16" s="80"/>
    </x:row>
    <x:row r="17">
      <x:c r="A17" s="104" t="str">
        <x:v>C02 · Мебель, техника и текстиль · Стандарт</x:v>
      </x:c>
      <x:c r="B17" s="98" t="n">
        <x:f>0</x:f>
        <x:v>0</x:v>
      </x:c>
      <x:c r="C17" s="98" t="n">
        <x:f>0</x:f>
        <x:v>0</x:v>
      </x:c>
      <x:c r="D17" s="98" t="n">
        <x:f>0</x:f>
        <x:v>0</x:v>
      </x:c>
      <x:c r="E17" s="98" t="n">
        <x:f>0</x:f>
        <x:v>0</x:v>
      </x:c>
      <x:c r="F17" s="98" t="n">
        <x:f>0</x:f>
        <x:v>0</x:v>
      </x:c>
      <x:c r="G17" s="98" t="n">
        <x:f>0</x:f>
        <x:v>0</x:v>
      </x:c>
      <x:c r="H17" s="98" t="n">
        <x:f>0</x:f>
        <x:v>0</x:v>
      </x:c>
      <x:c r="I17" s="98" t="n">
        <x:f>0</x:f>
        <x:v>0</x:v>
      </x:c>
      <x:c r="J17" s="98" t="n">
        <x:f>'Build_CAPEX'!$H$17*0.5</x:f>
        <x:v>4475840</x:v>
      </x:c>
      <x:c r="K17" s="98" t="n">
        <x:f>'Build_CAPEX'!$H$17*0.5</x:f>
        <x:v>4475840</x:v>
      </x:c>
      <x:c r="L17" s="98" t="n">
        <x:f>0</x:f>
        <x:v>0</x:v>
      </x:c>
      <x:c r="M17" s="98" t="n">
        <x:f>0</x:f>
        <x:v>0</x:v>
      </x:c>
      <x:c r="N17" s="80"/>
      <x:c r="O17" s="80"/>
      <x:c r="P17" s="80"/>
      <x:c r="Q17" s="80"/>
      <x:c r="R17" s="80"/>
      <x:c r="S17" s="80"/>
      <x:c r="T17" s="80"/>
      <x:c r="U17" s="80"/>
      <x:c r="V17" s="80"/>
      <x:c r="W17" s="80"/>
      <x:c r="X17" s="80"/>
      <x:c r="Y17" s="80"/>
      <x:c r="Z17" s="80"/>
      <x:c r="AA17" s="80"/>
      <x:c r="AB17" s="80"/>
      <x:c r="AC17" s="80"/>
      <x:c r="AD17" s="80"/>
      <x:c r="AE17" s="80"/>
      <x:c r="AF17" s="80"/>
      <x:c r="AG17" s="80"/>
      <x:c r="AH17" s="80"/>
      <x:c r="AI17" s="80"/>
      <x:c r="AJ17" s="80"/>
      <x:c r="AK17" s="80"/>
      <x:c r="AL17" s="80"/>
      <x:c r="AM17" s="80"/>
      <x:c r="AN17" s="80"/>
      <x:c r="AO17" s="80"/>
      <x:c r="AP17" s="80"/>
      <x:c r="AQ17" s="80"/>
      <x:c r="AR17" s="80"/>
      <x:c r="AS17" s="80"/>
      <x:c r="AT17" s="80"/>
      <x:c r="AU17" s="80"/>
      <x:c r="AV17" s="80"/>
      <x:c r="AW17" s="80"/>
      <x:c r="AX17" s="80"/>
      <x:c r="AY17" s="80"/>
      <x:c r="AZ17" s="80"/>
    </x:row>
    <x:row r="18">
      <x:c r="A18" s="104" t="str">
        <x:v>C03 · Мебель, техника и текстиль · Люкс</x:v>
      </x:c>
      <x:c r="B18" s="98" t="n">
        <x:f>0</x:f>
        <x:v>0</x:v>
      </x:c>
      <x:c r="C18" s="98" t="n">
        <x:f>0</x:f>
        <x:v>0</x:v>
      </x:c>
      <x:c r="D18" s="98" t="n">
        <x:f>0</x:f>
        <x:v>0</x:v>
      </x:c>
      <x:c r="E18" s="98" t="n">
        <x:f>0</x:f>
        <x:v>0</x:v>
      </x:c>
      <x:c r="F18" s="98" t="n">
        <x:f>0</x:f>
        <x:v>0</x:v>
      </x:c>
      <x:c r="G18" s="98" t="n">
        <x:f>0</x:f>
        <x:v>0</x:v>
      </x:c>
      <x:c r="H18" s="98" t="n">
        <x:f>0</x:f>
        <x:v>0</x:v>
      </x:c>
      <x:c r="I18" s="98" t="n">
        <x:f>0</x:f>
        <x:v>0</x:v>
      </x:c>
      <x:c r="J18" s="98" t="n">
        <x:f>'Build_CAPEX'!$H$18*0.5</x:f>
        <x:v>2302110.11</x:v>
      </x:c>
      <x:c r="K18" s="98" t="n">
        <x:f>'Build_CAPEX'!$H$18*0.5</x:f>
        <x:v>2302110.11</x:v>
      </x:c>
      <x:c r="L18" s="98" t="n">
        <x:f>0</x:f>
        <x:v>0</x:v>
      </x:c>
      <x:c r="M18" s="98" t="n">
        <x:f>0</x:f>
        <x:v>0</x:v>
      </x:c>
      <x:c r="N18" s="80"/>
      <x:c r="O18" s="80"/>
      <x:c r="P18" s="80"/>
      <x:c r="Q18" s="80"/>
      <x:c r="R18" s="80"/>
      <x:c r="S18" s="80"/>
      <x:c r="T18" s="80"/>
      <x:c r="U18" s="80"/>
      <x:c r="V18" s="80"/>
      <x:c r="W18" s="80"/>
      <x:c r="X18" s="80"/>
      <x:c r="Y18" s="80"/>
      <x:c r="Z18" s="80"/>
      <x:c r="AA18" s="80"/>
      <x:c r="AB18" s="80"/>
      <x:c r="AC18" s="80"/>
      <x:c r="AD18" s="80"/>
      <x:c r="AE18" s="80"/>
      <x:c r="AF18" s="80"/>
      <x:c r="AG18" s="80"/>
      <x:c r="AH18" s="80"/>
      <x:c r="AI18" s="80"/>
      <x:c r="AJ18" s="80"/>
      <x:c r="AK18" s="80"/>
      <x:c r="AL18" s="80"/>
      <x:c r="AM18" s="80"/>
      <x:c r="AN18" s="80"/>
      <x:c r="AO18" s="80"/>
      <x:c r="AP18" s="80"/>
      <x:c r="AQ18" s="80"/>
      <x:c r="AR18" s="80"/>
      <x:c r="AS18" s="80"/>
      <x:c r="AT18" s="80"/>
      <x:c r="AU18" s="80"/>
      <x:c r="AV18" s="80"/>
      <x:c r="AW18" s="80"/>
      <x:c r="AX18" s="80"/>
      <x:c r="AY18" s="80"/>
      <x:c r="AZ18" s="80"/>
    </x:row>
    <x:row r="19">
      <x:c r="A19" s="104" t="str">
        <x:v>D01 · Кессон и локальный водяной ввод</x:v>
      </x:c>
      <x:c r="B19" s="98" t="n">
        <x:f>0</x:f>
        <x:v>0</x:v>
      </x:c>
      <x:c r="C19" s="98" t="n">
        <x:f>0</x:f>
        <x:v>0</x:v>
      </x:c>
      <x:c r="D19" s="98" t="n">
        <x:f>0</x:f>
        <x:v>0</x:v>
      </x:c>
      <x:c r="E19" s="98" t="n">
        <x:f>0</x:f>
        <x:v>0</x:v>
      </x:c>
      <x:c r="F19" s="98" t="n">
        <x:f>'Build_CAPEX'!$H$19*0.5</x:f>
        <x:v>2514137.375</x:v>
      </x:c>
      <x:c r="G19" s="98" t="n">
        <x:f>'Build_CAPEX'!$H$19*0.5</x:f>
        <x:v>2514137.375</x:v>
      </x:c>
      <x:c r="H19" s="98" t="n">
        <x:f>0</x:f>
        <x:v>0</x:v>
      </x:c>
      <x:c r="I19" s="98" t="n">
        <x:f>0</x:f>
        <x:v>0</x:v>
      </x:c>
      <x:c r="J19" s="98" t="n">
        <x:f>0</x:f>
        <x:v>0</x:v>
      </x:c>
      <x:c r="K19" s="98" t="n">
        <x:f>0</x:f>
        <x:v>0</x:v>
      </x:c>
      <x:c r="L19" s="98" t="n">
        <x:f>0</x:f>
        <x:v>0</x:v>
      </x:c>
      <x:c r="M19" s="98" t="n">
        <x:f>0</x:f>
        <x:v>0</x:v>
      </x:c>
      <x:c r="N19" s="80"/>
      <x:c r="O19" s="80"/>
      <x:c r="P19" s="80"/>
      <x:c r="Q19" s="80"/>
      <x:c r="R19" s="80"/>
      <x:c r="S19" s="80"/>
      <x:c r="T19" s="80"/>
      <x:c r="U19" s="80"/>
      <x:c r="V19" s="80"/>
      <x:c r="W19" s="80"/>
      <x:c r="X19" s="80"/>
      <x:c r="Y19" s="80"/>
      <x:c r="Z19" s="80"/>
      <x:c r="AA19" s="80"/>
      <x:c r="AB19" s="80"/>
      <x:c r="AC19" s="80"/>
      <x:c r="AD19" s="80"/>
      <x:c r="AE19" s="80"/>
      <x:c r="AF19" s="80"/>
      <x:c r="AG19" s="80"/>
      <x:c r="AH19" s="80"/>
      <x:c r="AI19" s="80"/>
      <x:c r="AJ19" s="80"/>
      <x:c r="AK19" s="80"/>
      <x:c r="AL19" s="80"/>
      <x:c r="AM19" s="80"/>
      <x:c r="AN19" s="80"/>
      <x:c r="AO19" s="80"/>
      <x:c r="AP19" s="80"/>
      <x:c r="AQ19" s="80"/>
      <x:c r="AR19" s="80"/>
      <x:c r="AS19" s="80"/>
      <x:c r="AT19" s="80"/>
      <x:c r="AU19" s="80"/>
      <x:c r="AV19" s="80"/>
      <x:c r="AW19" s="80"/>
      <x:c r="AX19" s="80"/>
      <x:c r="AY19" s="80"/>
      <x:c r="AZ19" s="80"/>
    </x:row>
    <x:row r="20">
      <x:c r="A20" s="104" t="str">
        <x:v>D02 · Переливной септик и монтаж</x:v>
      </x:c>
      <x:c r="B20" s="98" t="n">
        <x:f>0</x:f>
        <x:v>0</x:v>
      </x:c>
      <x:c r="C20" s="98" t="n">
        <x:f>0</x:f>
        <x:v>0</x:v>
      </x:c>
      <x:c r="D20" s="98" t="n">
        <x:f>0</x:f>
        <x:v>0</x:v>
      </x:c>
      <x:c r="E20" s="98" t="n">
        <x:f>0</x:f>
        <x:v>0</x:v>
      </x:c>
      <x:c r="F20" s="98" t="n">
        <x:f>'Build_CAPEX'!$H$20*0.5</x:f>
        <x:v>990000</x:v>
      </x:c>
      <x:c r="G20" s="98" t="n">
        <x:f>'Build_CAPEX'!$H$20*0.5</x:f>
        <x:v>990000</x:v>
      </x:c>
      <x:c r="H20" s="98" t="n">
        <x:f>0</x:f>
        <x:v>0</x:v>
      </x:c>
      <x:c r="I20" s="98" t="n">
        <x:f>0</x:f>
        <x:v>0</x:v>
      </x:c>
      <x:c r="J20" s="98" t="n">
        <x:f>0</x:f>
        <x:v>0</x:v>
      </x:c>
      <x:c r="K20" s="98" t="n">
        <x:f>0</x:f>
        <x:v>0</x:v>
      </x:c>
      <x:c r="L20" s="98" t="n">
        <x:f>0</x:f>
        <x:v>0</x:v>
      </x:c>
      <x:c r="M20" s="98" t="n">
        <x:f>0</x:f>
        <x:v>0</x:v>
      </x:c>
      <x:c r="N20" s="80"/>
      <x:c r="O20" s="80"/>
      <x:c r="P20" s="80"/>
      <x:c r="Q20" s="80"/>
      <x:c r="R20" s="80"/>
      <x:c r="S20" s="80"/>
      <x:c r="T20" s="80"/>
      <x:c r="U20" s="80"/>
      <x:c r="V20" s="80"/>
      <x:c r="W20" s="80"/>
      <x:c r="X20" s="80"/>
      <x:c r="Y20" s="80"/>
      <x:c r="Z20" s="80"/>
      <x:c r="AA20" s="80"/>
      <x:c r="AB20" s="80"/>
      <x:c r="AC20" s="80"/>
      <x:c r="AD20" s="80"/>
      <x:c r="AE20" s="80"/>
      <x:c r="AF20" s="80"/>
      <x:c r="AG20" s="80"/>
      <x:c r="AH20" s="80"/>
      <x:c r="AI20" s="80"/>
      <x:c r="AJ20" s="80"/>
      <x:c r="AK20" s="80"/>
      <x:c r="AL20" s="80"/>
      <x:c r="AM20" s="80"/>
      <x:c r="AN20" s="80"/>
      <x:c r="AO20" s="80"/>
      <x:c r="AP20" s="80"/>
      <x:c r="AQ20" s="80"/>
      <x:c r="AR20" s="80"/>
      <x:c r="AS20" s="80"/>
      <x:c r="AT20" s="80"/>
      <x:c r="AU20" s="80"/>
      <x:c r="AV20" s="80"/>
      <x:c r="AW20" s="80"/>
      <x:c r="AX20" s="80"/>
      <x:c r="AY20" s="80"/>
      <x:c r="AZ20" s="80"/>
    </x:row>
    <x:row r="21">
      <x:c r="A21" s="104" t="str">
        <x:v>D03 · Электрощит, кабель и локальное подключение</x:v>
      </x:c>
      <x:c r="B21" s="98" t="n">
        <x:f>0</x:f>
        <x:v>0</x:v>
      </x:c>
      <x:c r="C21" s="98" t="n">
        <x:f>0</x:f>
        <x:v>0</x:v>
      </x:c>
      <x:c r="D21" s="98" t="n">
        <x:f>0</x:f>
        <x:v>0</x:v>
      </x:c>
      <x:c r="E21" s="98" t="n">
        <x:f>0</x:f>
        <x:v>0</x:v>
      </x:c>
      <x:c r="F21" s="98" t="n">
        <x:f>0</x:f>
        <x:v>0</x:v>
      </x:c>
      <x:c r="G21" s="98" t="n">
        <x:f>'Build_CAPEX'!$H$21*0.5</x:f>
        <x:v>1530000</x:v>
      </x:c>
      <x:c r="H21" s="98" t="n">
        <x:f>'Build_CAPEX'!$H$21*0.5</x:f>
        <x:v>1530000</x:v>
      </x:c>
      <x:c r="I21" s="98" t="n">
        <x:f>0</x:f>
        <x:v>0</x:v>
      </x:c>
      <x:c r="J21" s="98" t="n">
        <x:f>0</x:f>
        <x:v>0</x:v>
      </x:c>
      <x:c r="K21" s="98" t="n">
        <x:f>0</x:f>
        <x:v>0</x:v>
      </x:c>
      <x:c r="L21" s="98" t="n">
        <x:f>0</x:f>
        <x:v>0</x:v>
      </x:c>
      <x:c r="M21" s="98" t="n">
        <x:f>0</x:f>
        <x:v>0</x:v>
      </x:c>
      <x:c r="N21" s="80"/>
      <x:c r="O21" s="80"/>
      <x:c r="P21" s="80"/>
      <x:c r="Q21" s="80"/>
      <x:c r="R21" s="80"/>
      <x:c r="S21" s="80"/>
      <x:c r="T21" s="80"/>
      <x:c r="U21" s="80"/>
      <x:c r="V21" s="80"/>
      <x:c r="W21" s="80"/>
      <x:c r="X21" s="80"/>
      <x:c r="Y21" s="80"/>
      <x:c r="Z21" s="80"/>
      <x:c r="AA21" s="80"/>
      <x:c r="AB21" s="80"/>
      <x:c r="AC21" s="80"/>
      <x:c r="AD21" s="80"/>
      <x:c r="AE21" s="80"/>
      <x:c r="AF21" s="80"/>
      <x:c r="AG21" s="80"/>
      <x:c r="AH21" s="80"/>
      <x:c r="AI21" s="80"/>
      <x:c r="AJ21" s="80"/>
      <x:c r="AK21" s="80"/>
      <x:c r="AL21" s="80"/>
      <x:c r="AM21" s="80"/>
      <x:c r="AN21" s="80"/>
      <x:c r="AO21" s="80"/>
      <x:c r="AP21" s="80"/>
      <x:c r="AQ21" s="80"/>
      <x:c r="AR21" s="80"/>
      <x:c r="AS21" s="80"/>
      <x:c r="AT21" s="80"/>
      <x:c r="AU21" s="80"/>
      <x:c r="AV21" s="80"/>
      <x:c r="AW21" s="80"/>
      <x:c r="AX21" s="80"/>
      <x:c r="AY21" s="80"/>
      <x:c r="AZ21" s="80"/>
    </x:row>
    <x:row r="22">
      <x:c r="A22" s="104" t="str">
        <x:v>D04 · Забор, калитка, туи, дорожки и подсветка</x:v>
      </x:c>
      <x:c r="B22" s="98" t="n">
        <x:f>0</x:f>
        <x:v>0</x:v>
      </x:c>
      <x:c r="C22" s="98" t="n">
        <x:f>0</x:f>
        <x:v>0</x:v>
      </x:c>
      <x:c r="D22" s="98" t="n">
        <x:f>0</x:f>
        <x:v>0</x:v>
      </x:c>
      <x:c r="E22" s="98" t="n">
        <x:f>0</x:f>
        <x:v>0</x:v>
      </x:c>
      <x:c r="F22" s="98" t="n">
        <x:f>0</x:f>
        <x:v>0</x:v>
      </x:c>
      <x:c r="G22" s="98" t="n">
        <x:f>0</x:f>
        <x:v>0</x:v>
      </x:c>
      <x:c r="H22" s="98" t="n">
        <x:f>0</x:f>
        <x:v>0</x:v>
      </x:c>
      <x:c r="I22" s="98" t="n">
        <x:f>0</x:f>
        <x:v>0</x:v>
      </x:c>
      <x:c r="J22" s="98" t="n">
        <x:f>'Build_CAPEX'!$H$22*0.35</x:f>
        <x:v>503999.99999999994</x:v>
      </x:c>
      <x:c r="K22" s="98" t="n">
        <x:f>'Build_CAPEX'!$H$22*0.4</x:f>
        <x:v>576000</x:v>
      </x:c>
      <x:c r="L22" s="98" t="n">
        <x:f>'Build_CAPEX'!$H$22*0.25</x:f>
        <x:v>360000</x:v>
      </x:c>
      <x:c r="M22" s="98" t="n">
        <x:f>0</x:f>
        <x:v>0</x:v>
      </x:c>
      <x:c r="N22" s="80"/>
      <x:c r="O22" s="80"/>
      <x:c r="P22" s="80"/>
      <x:c r="Q22" s="80"/>
      <x:c r="R22" s="80"/>
      <x:c r="S22" s="80"/>
      <x:c r="T22" s="80"/>
      <x:c r="U22" s="80"/>
      <x:c r="V22" s="80"/>
      <x:c r="W22" s="80"/>
      <x:c r="X22" s="80"/>
      <x:c r="Y22" s="80"/>
      <x:c r="Z22" s="80"/>
      <x:c r="AA22" s="80"/>
      <x:c r="AB22" s="80"/>
      <x:c r="AC22" s="80"/>
      <x:c r="AD22" s="80"/>
      <x:c r="AE22" s="80"/>
      <x:c r="AF22" s="80"/>
      <x:c r="AG22" s="80"/>
      <x:c r="AH22" s="80"/>
      <x:c r="AI22" s="80"/>
      <x:c r="AJ22" s="80"/>
      <x:c r="AK22" s="80"/>
      <x:c r="AL22" s="80"/>
      <x:c r="AM22" s="80"/>
      <x:c r="AN22" s="80"/>
      <x:c r="AO22" s="80"/>
      <x:c r="AP22" s="80"/>
      <x:c r="AQ22" s="80"/>
      <x:c r="AR22" s="80"/>
      <x:c r="AS22" s="80"/>
      <x:c r="AT22" s="80"/>
      <x:c r="AU22" s="80"/>
      <x:c r="AV22" s="80"/>
      <x:c r="AW22" s="80"/>
      <x:c r="AX22" s="80"/>
      <x:c r="AY22" s="80"/>
      <x:c r="AZ22" s="80"/>
    </x:row>
    <x:row r="23">
      <x:c r="A23" s="104" t="str">
        <x:v>E01 · Геодезия, геология и обследования</x:v>
      </x:c>
      <x:c r="B23" s="98" t="n">
        <x:f>'Build_CAPEX'!$H$23*0.6</x:f>
        <x:v>5130000</x:v>
      </x:c>
      <x:c r="C23" s="98" t="n">
        <x:f>'Build_CAPEX'!$H$23*0.4</x:f>
        <x:v>3420000</x:v>
      </x:c>
      <x:c r="D23" s="98" t="n">
        <x:f>0</x:f>
        <x:v>0</x:v>
      </x:c>
      <x:c r="E23" s="98" t="n">
        <x:f>0</x:f>
        <x:v>0</x:v>
      </x:c>
      <x:c r="F23" s="98" t="n">
        <x:f>0</x:f>
        <x:v>0</x:v>
      </x:c>
      <x:c r="G23" s="98" t="n">
        <x:f>0</x:f>
        <x:v>0</x:v>
      </x:c>
      <x:c r="H23" s="98" t="n">
        <x:f>0</x:f>
        <x:v>0</x:v>
      </x:c>
      <x:c r="I23" s="98" t="n">
        <x:f>0</x:f>
        <x:v>0</x:v>
      </x:c>
      <x:c r="J23" s="98" t="n">
        <x:f>0</x:f>
        <x:v>0</x:v>
      </x:c>
      <x:c r="K23" s="98" t="n">
        <x:f>0</x:f>
        <x:v>0</x:v>
      </x:c>
      <x:c r="L23" s="98" t="n">
        <x:f>0</x:f>
        <x:v>0</x:v>
      </x:c>
      <x:c r="M23" s="98" t="n">
        <x:f>0</x:f>
        <x:v>0</x:v>
      </x:c>
      <x:c r="N23" s="80"/>
      <x:c r="O23" s="80"/>
      <x:c r="P23" s="80"/>
      <x:c r="Q23" s="80"/>
      <x:c r="R23" s="80"/>
      <x:c r="S23" s="80"/>
      <x:c r="T23" s="80"/>
      <x:c r="U23" s="80"/>
      <x:c r="V23" s="80"/>
      <x:c r="W23" s="80"/>
      <x:c r="X23" s="80"/>
      <x:c r="Y23" s="80"/>
      <x:c r="Z23" s="80"/>
      <x:c r="AA23" s="80"/>
      <x:c r="AB23" s="80"/>
      <x:c r="AC23" s="80"/>
      <x:c r="AD23" s="80"/>
      <x:c r="AE23" s="80"/>
      <x:c r="AF23" s="80"/>
      <x:c r="AG23" s="80"/>
      <x:c r="AH23" s="80"/>
      <x:c r="AI23" s="80"/>
      <x:c r="AJ23" s="80"/>
      <x:c r="AK23" s="80"/>
      <x:c r="AL23" s="80"/>
      <x:c r="AM23" s="80"/>
      <x:c r="AN23" s="80"/>
      <x:c r="AO23" s="80"/>
      <x:c r="AP23" s="80"/>
      <x:c r="AQ23" s="80"/>
      <x:c r="AR23" s="80"/>
      <x:c r="AS23" s="80"/>
      <x:c r="AT23" s="80"/>
      <x:c r="AU23" s="80"/>
      <x:c r="AV23" s="80"/>
      <x:c r="AW23" s="80"/>
      <x:c r="AX23" s="80"/>
      <x:c r="AY23" s="80"/>
      <x:c r="AZ23" s="80"/>
    </x:row>
    <x:row r="24">
      <x:c r="A24" s="104" t="str">
        <x:v>E02 · Генплан, архитектура и рабочая документация</x:v>
      </x:c>
      <x:c r="B24" s="98" t="n">
        <x:f>'Build_CAPEX'!$H$24*0.25</x:f>
        <x:v>450000</x:v>
      </x:c>
      <x:c r="C24" s="98" t="n">
        <x:f>'Build_CAPEX'!$H$24*0.35</x:f>
        <x:v>630000</x:v>
      </x:c>
      <x:c r="D24" s="98" t="n">
        <x:f>'Build_CAPEX'!$H$24*0.25</x:f>
        <x:v>450000</x:v>
      </x:c>
      <x:c r="E24" s="98" t="n">
        <x:f>'Build_CAPEX'!$H$24*0.15</x:f>
        <x:v>270000</x:v>
      </x:c>
      <x:c r="F24" s="98" t="n">
        <x:f>0</x:f>
        <x:v>0</x:v>
      </x:c>
      <x:c r="G24" s="98" t="n">
        <x:f>0</x:f>
        <x:v>0</x:v>
      </x:c>
      <x:c r="H24" s="98" t="n">
        <x:f>0</x:f>
        <x:v>0</x:v>
      </x:c>
      <x:c r="I24" s="98" t="n">
        <x:f>0</x:f>
        <x:v>0</x:v>
      </x:c>
      <x:c r="J24" s="98" t="n">
        <x:f>0</x:f>
        <x:v>0</x:v>
      </x:c>
      <x:c r="K24" s="98" t="n">
        <x:f>0</x:f>
        <x:v>0</x:v>
      </x:c>
      <x:c r="L24" s="98" t="n">
        <x:f>0</x:f>
        <x:v>0</x:v>
      </x:c>
      <x:c r="M24" s="98" t="n">
        <x:f>0</x:f>
        <x:v>0</x:v>
      </x:c>
      <x:c r="N24" s="80"/>
      <x:c r="O24" s="80"/>
      <x:c r="P24" s="80"/>
      <x:c r="Q24" s="80"/>
      <x:c r="R24" s="80"/>
      <x:c r="S24" s="80"/>
      <x:c r="T24" s="80"/>
      <x:c r="U24" s="80"/>
      <x:c r="V24" s="80"/>
      <x:c r="W24" s="80"/>
      <x:c r="X24" s="80"/>
      <x:c r="Y24" s="80"/>
      <x:c r="Z24" s="80"/>
      <x:c r="AA24" s="80"/>
      <x:c r="AB24" s="80"/>
      <x:c r="AC24" s="80"/>
      <x:c r="AD24" s="80"/>
      <x:c r="AE24" s="80"/>
      <x:c r="AF24" s="80"/>
      <x:c r="AG24" s="80"/>
      <x:c r="AH24" s="80"/>
      <x:c r="AI24" s="80"/>
      <x:c r="AJ24" s="80"/>
      <x:c r="AK24" s="80"/>
      <x:c r="AL24" s="80"/>
      <x:c r="AM24" s="80"/>
      <x:c r="AN24" s="80"/>
      <x:c r="AO24" s="80"/>
      <x:c r="AP24" s="80"/>
      <x:c r="AQ24" s="80"/>
      <x:c r="AR24" s="80"/>
      <x:c r="AS24" s="80"/>
      <x:c r="AT24" s="80"/>
      <x:c r="AU24" s="80"/>
      <x:c r="AV24" s="80"/>
      <x:c r="AW24" s="80"/>
      <x:c r="AX24" s="80"/>
      <x:c r="AY24" s="80"/>
      <x:c r="AZ24" s="80"/>
    </x:row>
    <x:row r="25">
      <x:c r="A25" s="104" t="str">
        <x:v>E03 · ТУ, согласования и экспертизы</x:v>
      </x:c>
      <x:c r="B25" s="98" t="n">
        <x:f>0</x:f>
        <x:v>0</x:v>
      </x:c>
      <x:c r="C25" s="98" t="n">
        <x:f>'Build_CAPEX'!$H$25*0.5</x:f>
        <x:v>1600000</x:v>
      </x:c>
      <x:c r="D25" s="98" t="n">
        <x:f>'Build_CAPEX'!$H$25*0.5</x:f>
        <x:v>1600000</x:v>
      </x:c>
      <x:c r="E25" s="98" t="n">
        <x:f>0</x:f>
        <x:v>0</x:v>
      </x:c>
      <x:c r="F25" s="98" t="n">
        <x:f>0</x:f>
        <x:v>0</x:v>
      </x:c>
      <x:c r="G25" s="98" t="n">
        <x:f>0</x:f>
        <x:v>0</x:v>
      </x:c>
      <x:c r="H25" s="98" t="n">
        <x:f>0</x:f>
        <x:v>0</x:v>
      </x:c>
      <x:c r="I25" s="98" t="n">
        <x:f>0</x:f>
        <x:v>0</x:v>
      </x:c>
      <x:c r="J25" s="98" t="n">
        <x:f>0</x:f>
        <x:v>0</x:v>
      </x:c>
      <x:c r="K25" s="98" t="n">
        <x:f>0</x:f>
        <x:v>0</x:v>
      </x:c>
      <x:c r="L25" s="98" t="n">
        <x:f>0</x:f>
        <x:v>0</x:v>
      </x:c>
      <x:c r="M25" s="98" t="n">
        <x:f>0</x:f>
        <x:v>0</x:v>
      </x:c>
      <x:c r="N25" s="80"/>
      <x:c r="O25" s="80"/>
      <x:c r="P25" s="80"/>
      <x:c r="Q25" s="80"/>
      <x:c r="R25" s="80"/>
      <x:c r="S25" s="80"/>
      <x:c r="T25" s="80"/>
      <x:c r="U25" s="80"/>
      <x:c r="V25" s="80"/>
      <x:c r="W25" s="80"/>
      <x:c r="X25" s="80"/>
      <x:c r="Y25" s="80"/>
      <x:c r="Z25" s="80"/>
      <x:c r="AA25" s="80"/>
      <x:c r="AB25" s="80"/>
      <x:c r="AC25" s="80"/>
      <x:c r="AD25" s="80"/>
      <x:c r="AE25" s="80"/>
      <x:c r="AF25" s="80"/>
      <x:c r="AG25" s="80"/>
      <x:c r="AH25" s="80"/>
      <x:c r="AI25" s="80"/>
      <x:c r="AJ25" s="80"/>
      <x:c r="AK25" s="80"/>
      <x:c r="AL25" s="80"/>
      <x:c r="AM25" s="80"/>
      <x:c r="AN25" s="80"/>
      <x:c r="AO25" s="80"/>
      <x:c r="AP25" s="80"/>
      <x:c r="AQ25" s="80"/>
      <x:c r="AR25" s="80"/>
      <x:c r="AS25" s="80"/>
      <x:c r="AT25" s="80"/>
      <x:c r="AU25" s="80"/>
      <x:c r="AV25" s="80"/>
      <x:c r="AW25" s="80"/>
      <x:c r="AX25" s="80"/>
      <x:c r="AY25" s="80"/>
      <x:c r="AZ25" s="80"/>
    </x:row>
    <x:row r="26">
      <x:c r="A26" s="104" t="str">
        <x:v>E04 · Расчистка, планировка и сохранение деревьев</x:v>
      </x:c>
      <x:c r="B26" s="98" t="n">
        <x:f>0</x:f>
        <x:v>0</x:v>
      </x:c>
      <x:c r="C26" s="98" t="n">
        <x:f>0</x:f>
        <x:v>0</x:v>
      </x:c>
      <x:c r="D26" s="98" t="n">
        <x:f>'Build_CAPEX'!$H$26*0.4</x:f>
        <x:v>320000</x:v>
      </x:c>
      <x:c r="E26" s="98" t="n">
        <x:f>'Build_CAPEX'!$H$26*0.4</x:f>
        <x:v>320000</x:v>
      </x:c>
      <x:c r="F26" s="98" t="n">
        <x:f>'Build_CAPEX'!$H$26*0.2</x:f>
        <x:v>160000</x:v>
      </x:c>
      <x:c r="G26" s="98" t="n">
        <x:f>0</x:f>
        <x:v>0</x:v>
      </x:c>
      <x:c r="H26" s="98" t="n">
        <x:f>0</x:f>
        <x:v>0</x:v>
      </x:c>
      <x:c r="I26" s="98" t="n">
        <x:f>0</x:f>
        <x:v>0</x:v>
      </x:c>
      <x:c r="J26" s="98" t="n">
        <x:f>0</x:f>
        <x:v>0</x:v>
      </x:c>
      <x:c r="K26" s="98" t="n">
        <x:f>0</x:f>
        <x:v>0</x:v>
      </x:c>
      <x:c r="L26" s="98" t="n">
        <x:f>0</x:f>
        <x:v>0</x:v>
      </x:c>
      <x:c r="M26" s="98" t="n">
        <x:f>0</x:f>
        <x:v>0</x:v>
      </x:c>
      <x:c r="N26" s="80"/>
      <x:c r="O26" s="80"/>
      <x:c r="P26" s="80"/>
      <x:c r="Q26" s="80"/>
      <x:c r="R26" s="80"/>
      <x:c r="S26" s="80"/>
      <x:c r="T26" s="80"/>
      <x:c r="U26" s="80"/>
      <x:c r="V26" s="80"/>
      <x:c r="W26" s="80"/>
      <x:c r="X26" s="80"/>
      <x:c r="Y26" s="80"/>
      <x:c r="Z26" s="80"/>
      <x:c r="AA26" s="80"/>
      <x:c r="AB26" s="80"/>
      <x:c r="AC26" s="80"/>
      <x:c r="AD26" s="80"/>
      <x:c r="AE26" s="80"/>
      <x:c r="AF26" s="80"/>
      <x:c r="AG26" s="80"/>
      <x:c r="AH26" s="80"/>
      <x:c r="AI26" s="80"/>
      <x:c r="AJ26" s="80"/>
      <x:c r="AK26" s="80"/>
      <x:c r="AL26" s="80"/>
      <x:c r="AM26" s="80"/>
      <x:c r="AN26" s="80"/>
      <x:c r="AO26" s="80"/>
      <x:c r="AP26" s="80"/>
      <x:c r="AQ26" s="80"/>
      <x:c r="AR26" s="80"/>
      <x:c r="AS26" s="80"/>
      <x:c r="AT26" s="80"/>
      <x:c r="AU26" s="80"/>
      <x:c r="AV26" s="80"/>
      <x:c r="AW26" s="80"/>
      <x:c r="AX26" s="80"/>
      <x:c r="AY26" s="80"/>
      <x:c r="AZ26" s="80"/>
    </x:row>
    <x:row r="27">
      <x:c r="A27" s="104" t="str">
        <x:v>E05 · Временные сети, бытовки и ограждение стройки</x:v>
      </x:c>
      <x:c r="B27" s="98" t="n">
        <x:f>0</x:f>
        <x:v>0</x:v>
      </x:c>
      <x:c r="C27" s="98" t="n">
        <x:f>0</x:f>
        <x:v>0</x:v>
      </x:c>
      <x:c r="D27" s="98" t="n">
        <x:f>'Build_CAPEX'!$H$27*0.6</x:f>
        <x:v>2160000</x:v>
      </x:c>
      <x:c r="E27" s="98" t="n">
        <x:f>'Build_CAPEX'!$H$27*0.4</x:f>
        <x:v>1440000</x:v>
      </x:c>
      <x:c r="F27" s="98" t="n">
        <x:f>0</x:f>
        <x:v>0</x:v>
      </x:c>
      <x:c r="G27" s="98" t="n">
        <x:f>0</x:f>
        <x:v>0</x:v>
      </x:c>
      <x:c r="H27" s="98" t="n">
        <x:f>0</x:f>
        <x:v>0</x:v>
      </x:c>
      <x:c r="I27" s="98" t="n">
        <x:f>0</x:f>
        <x:v>0</x:v>
      </x:c>
      <x:c r="J27" s="98" t="n">
        <x:f>0</x:f>
        <x:v>0</x:v>
      </x:c>
      <x:c r="K27" s="98" t="n">
        <x:f>0</x:f>
        <x:v>0</x:v>
      </x:c>
      <x:c r="L27" s="98" t="n">
        <x:f>0</x:f>
        <x:v>0</x:v>
      </x:c>
      <x:c r="M27" s="98" t="n">
        <x:f>0</x:f>
        <x:v>0</x:v>
      </x:c>
      <x:c r="N27" s="80"/>
      <x:c r="O27" s="80"/>
      <x:c r="P27" s="80"/>
      <x:c r="Q27" s="80"/>
      <x:c r="R27" s="80"/>
      <x:c r="S27" s="80"/>
      <x:c r="T27" s="80"/>
      <x:c r="U27" s="80"/>
      <x:c r="V27" s="80"/>
      <x:c r="W27" s="80"/>
      <x:c r="X27" s="80"/>
      <x:c r="Y27" s="80"/>
      <x:c r="Z27" s="80"/>
      <x:c r="AA27" s="80"/>
      <x:c r="AB27" s="80"/>
      <x:c r="AC27" s="80"/>
      <x:c r="AD27" s="80"/>
      <x:c r="AE27" s="80"/>
      <x:c r="AF27" s="80"/>
      <x:c r="AG27" s="80"/>
      <x:c r="AH27" s="80"/>
      <x:c r="AI27" s="80"/>
      <x:c r="AJ27" s="80"/>
      <x:c r="AK27" s="80"/>
      <x:c r="AL27" s="80"/>
      <x:c r="AM27" s="80"/>
      <x:c r="AN27" s="80"/>
      <x:c r="AO27" s="80"/>
      <x:c r="AP27" s="80"/>
      <x:c r="AQ27" s="80"/>
      <x:c r="AR27" s="80"/>
      <x:c r="AS27" s="80"/>
      <x:c r="AT27" s="80"/>
      <x:c r="AU27" s="80"/>
      <x:c r="AV27" s="80"/>
      <x:c r="AW27" s="80"/>
      <x:c r="AX27" s="80"/>
      <x:c r="AY27" s="80"/>
      <x:c r="AZ27" s="80"/>
    </x:row>
    <x:row r="28">
      <x:c r="A28" s="104" t="str">
        <x:v>E06 · Дороги, дренаж и ливневая схема</x:v>
      </x:c>
      <x:c r="B28" s="98" t="n">
        <x:f>0</x:f>
        <x:v>0</x:v>
      </x:c>
      <x:c r="C28" s="98" t="n">
        <x:f>0</x:f>
        <x:v>0</x:v>
      </x:c>
      <x:c r="D28" s="98" t="n">
        <x:f>0</x:f>
        <x:v>0</x:v>
      </x:c>
      <x:c r="E28" s="98" t="n">
        <x:f>'Build_CAPEX'!$H$28*0.2</x:f>
        <x:v>240000</x:v>
      </x:c>
      <x:c r="F28" s="98" t="n">
        <x:f>'Build_CAPEX'!$H$28*0.35</x:f>
        <x:v>420000</x:v>
      </x:c>
      <x:c r="G28" s="98" t="n">
        <x:f>'Build_CAPEX'!$H$28*0.3</x:f>
        <x:v>360000</x:v>
      </x:c>
      <x:c r="H28" s="98" t="n">
        <x:f>'Build_CAPEX'!$H$28*0.15</x:f>
        <x:v>180000</x:v>
      </x:c>
      <x:c r="I28" s="98" t="n">
        <x:f>0</x:f>
        <x:v>0</x:v>
      </x:c>
      <x:c r="J28" s="98" t="n">
        <x:f>0</x:f>
        <x:v>0</x:v>
      </x:c>
      <x:c r="K28" s="98" t="n">
        <x:f>0</x:f>
        <x:v>0</x:v>
      </x:c>
      <x:c r="L28" s="98" t="n">
        <x:f>0</x:f>
        <x:v>0</x:v>
      </x:c>
      <x:c r="M28" s="98" t="n">
        <x:f>0</x:f>
        <x:v>0</x:v>
      </x:c>
      <x:c r="N28" s="80"/>
      <x:c r="O28" s="80"/>
      <x:c r="P28" s="80"/>
      <x:c r="Q28" s="80"/>
      <x:c r="R28" s="80"/>
      <x:c r="S28" s="80"/>
      <x:c r="T28" s="80"/>
      <x:c r="U28" s="80"/>
      <x:c r="V28" s="80"/>
      <x:c r="W28" s="80"/>
      <x:c r="X28" s="80"/>
      <x:c r="Y28" s="80"/>
      <x:c r="Z28" s="80"/>
      <x:c r="AA28" s="80"/>
      <x:c r="AB28" s="80"/>
      <x:c r="AC28" s="80"/>
      <x:c r="AD28" s="80"/>
      <x:c r="AE28" s="80"/>
      <x:c r="AF28" s="80"/>
      <x:c r="AG28" s="80"/>
      <x:c r="AH28" s="80"/>
      <x:c r="AI28" s="80"/>
      <x:c r="AJ28" s="80"/>
      <x:c r="AK28" s="80"/>
      <x:c r="AL28" s="80"/>
      <x:c r="AM28" s="80"/>
      <x:c r="AN28" s="80"/>
      <x:c r="AO28" s="80"/>
      <x:c r="AP28" s="80"/>
      <x:c r="AQ28" s="80"/>
      <x:c r="AR28" s="80"/>
      <x:c r="AS28" s="80"/>
      <x:c r="AT28" s="80"/>
      <x:c r="AU28" s="80"/>
      <x:c r="AV28" s="80"/>
      <x:c r="AW28" s="80"/>
      <x:c r="AX28" s="80"/>
      <x:c r="AY28" s="80"/>
      <x:c r="AZ28" s="80"/>
    </x:row>
    <x:row r="29">
      <x:c r="A29" s="104" t="str">
        <x:v>E07 · Внешнее электроснабжение, мощность и магистрали</x:v>
      </x:c>
      <x:c r="B29" s="98" t="n">
        <x:f>0</x:f>
        <x:v>0</x:v>
      </x:c>
      <x:c r="C29" s="98" t="n">
        <x:f>0</x:f>
        <x:v>0</x:v>
      </x:c>
      <x:c r="D29" s="98" t="n">
        <x:f>0</x:f>
        <x:v>0</x:v>
      </x:c>
      <x:c r="E29" s="98" t="n">
        <x:f>'Build_CAPEX'!$H$29*0.2</x:f>
        <x:v>2400000</x:v>
      </x:c>
      <x:c r="F29" s="98" t="n">
        <x:f>'Build_CAPEX'!$H$29*0.35</x:f>
        <x:v>4200000</x:v>
      </x:c>
      <x:c r="G29" s="98" t="n">
        <x:f>'Build_CAPEX'!$H$29*0.3</x:f>
        <x:v>3600000</x:v>
      </x:c>
      <x:c r="H29" s="98" t="n">
        <x:f>'Build_CAPEX'!$H$29*0.15</x:f>
        <x:v>1800000</x:v>
      </x:c>
      <x:c r="I29" s="98" t="n">
        <x:f>0</x:f>
        <x:v>0</x:v>
      </x:c>
      <x:c r="J29" s="98" t="n">
        <x:f>0</x:f>
        <x:v>0</x:v>
      </x:c>
      <x:c r="K29" s="98" t="n">
        <x:f>0</x:f>
        <x:v>0</x:v>
      </x:c>
      <x:c r="L29" s="98" t="n">
        <x:f>0</x:f>
        <x:v>0</x:v>
      </x:c>
      <x:c r="M29" s="98" t="n">
        <x:f>0</x:f>
        <x:v>0</x:v>
      </x:c>
      <x:c r="N29" s="80"/>
      <x:c r="O29" s="80"/>
      <x:c r="P29" s="80"/>
      <x:c r="Q29" s="80"/>
      <x:c r="R29" s="80"/>
      <x:c r="S29" s="80"/>
      <x:c r="T29" s="80"/>
      <x:c r="U29" s="80"/>
      <x:c r="V29" s="80"/>
      <x:c r="W29" s="80"/>
      <x:c r="X29" s="80"/>
      <x:c r="Y29" s="80"/>
      <x:c r="Z29" s="80"/>
      <x:c r="AA29" s="80"/>
      <x:c r="AB29" s="80"/>
      <x:c r="AC29" s="80"/>
      <x:c r="AD29" s="80"/>
      <x:c r="AE29" s="80"/>
      <x:c r="AF29" s="80"/>
      <x:c r="AG29" s="80"/>
      <x:c r="AH29" s="80"/>
      <x:c r="AI29" s="80"/>
      <x:c r="AJ29" s="80"/>
      <x:c r="AK29" s="80"/>
      <x:c r="AL29" s="80"/>
      <x:c r="AM29" s="80"/>
      <x:c r="AN29" s="80"/>
      <x:c r="AO29" s="80"/>
      <x:c r="AP29" s="80"/>
      <x:c r="AQ29" s="80"/>
      <x:c r="AR29" s="80"/>
      <x:c r="AS29" s="80"/>
      <x:c r="AT29" s="80"/>
      <x:c r="AU29" s="80"/>
      <x:c r="AV29" s="80"/>
      <x:c r="AW29" s="80"/>
      <x:c r="AX29" s="80"/>
      <x:c r="AY29" s="80"/>
      <x:c r="AZ29" s="80"/>
    </x:row>
    <x:row r="30">
      <x:c r="A30" s="104" t="str">
        <x:v>E08 · Общая система воды и магистраль</x:v>
      </x:c>
      <x:c r="B30" s="98" t="n">
        <x:f>0</x:f>
        <x:v>0</x:v>
      </x:c>
      <x:c r="C30" s="98" t="n">
        <x:f>0</x:f>
        <x:v>0</x:v>
      </x:c>
      <x:c r="D30" s="98" t="n">
        <x:f>0</x:f>
        <x:v>0</x:v>
      </x:c>
      <x:c r="E30" s="98" t="n">
        <x:f>'Build_CAPEX'!$H$30*0.3</x:f>
        <x:v>5400000</x:v>
      </x:c>
      <x:c r="F30" s="98" t="n">
        <x:f>'Build_CAPEX'!$H$30*0.4</x:f>
        <x:v>7200000</x:v>
      </x:c>
      <x:c r="G30" s="98" t="n">
        <x:f>'Build_CAPEX'!$H$30*0.3</x:f>
        <x:v>5400000</x:v>
      </x:c>
      <x:c r="H30" s="98" t="n">
        <x:f>0</x:f>
        <x:v>0</x:v>
      </x:c>
      <x:c r="I30" s="98" t="n">
        <x:f>0</x:f>
        <x:v>0</x:v>
      </x:c>
      <x:c r="J30" s="98" t="n">
        <x:f>0</x:f>
        <x:v>0</x:v>
      </x:c>
      <x:c r="K30" s="98" t="n">
        <x:f>0</x:f>
        <x:v>0</x:v>
      </x:c>
      <x:c r="L30" s="98" t="n">
        <x:f>0</x:f>
        <x:v>0</x:v>
      </x:c>
      <x:c r="M30" s="98" t="n">
        <x:f>0</x:f>
        <x:v>0</x:v>
      </x:c>
      <x:c r="N30" s="80"/>
      <x:c r="O30" s="80"/>
      <x:c r="P30" s="80"/>
      <x:c r="Q30" s="80"/>
      <x:c r="R30" s="80"/>
      <x:c r="S30" s="80"/>
      <x:c r="T30" s="80"/>
      <x:c r="U30" s="80"/>
      <x:c r="V30" s="80"/>
      <x:c r="W30" s="80"/>
      <x:c r="X30" s="80"/>
      <x:c r="Y30" s="80"/>
      <x:c r="Z30" s="80"/>
      <x:c r="AA30" s="80"/>
      <x:c r="AB30" s="80"/>
      <x:c r="AC30" s="80"/>
      <x:c r="AD30" s="80"/>
      <x:c r="AE30" s="80"/>
      <x:c r="AF30" s="80"/>
      <x:c r="AG30" s="80"/>
      <x:c r="AH30" s="80"/>
      <x:c r="AI30" s="80"/>
      <x:c r="AJ30" s="80"/>
      <x:c r="AK30" s="80"/>
      <x:c r="AL30" s="80"/>
      <x:c r="AM30" s="80"/>
      <x:c r="AN30" s="80"/>
      <x:c r="AO30" s="80"/>
      <x:c r="AP30" s="80"/>
      <x:c r="AQ30" s="80"/>
      <x:c r="AR30" s="80"/>
      <x:c r="AS30" s="80"/>
      <x:c r="AT30" s="80"/>
      <x:c r="AU30" s="80"/>
      <x:c r="AV30" s="80"/>
      <x:c r="AW30" s="80"/>
      <x:c r="AX30" s="80"/>
      <x:c r="AY30" s="80"/>
      <x:c r="AZ30" s="80"/>
    </x:row>
    <x:row r="31">
      <x:c r="A31" s="104" t="str">
        <x:v>E09 · Ресепшн: здание, инженерия и отделка</x:v>
      </x:c>
      <x:c r="B31" s="98" t="n">
        <x:f>0</x:f>
        <x:v>0</x:v>
      </x:c>
      <x:c r="C31" s="98" t="n">
        <x:f>0</x:f>
        <x:v>0</x:v>
      </x:c>
      <x:c r="D31" s="98" t="n">
        <x:f>0</x:f>
        <x:v>0</x:v>
      </x:c>
      <x:c r="E31" s="98" t="n">
        <x:f>0</x:f>
        <x:v>0</x:v>
      </x:c>
      <x:c r="F31" s="98" t="n">
        <x:f>0</x:f>
        <x:v>0</x:v>
      </x:c>
      <x:c r="G31" s="98" t="n">
        <x:f>'Build_CAPEX'!$H$31*0.3</x:f>
        <x:v>1200000</x:v>
      </x:c>
      <x:c r="H31" s="98" t="n">
        <x:f>'Build_CAPEX'!$H$31*0.4</x:f>
        <x:v>1600000</x:v>
      </x:c>
      <x:c r="I31" s="98" t="n">
        <x:f>'Build_CAPEX'!$H$31*0.3</x:f>
        <x:v>1200000</x:v>
      </x:c>
      <x:c r="J31" s="98" t="n">
        <x:f>0</x:f>
        <x:v>0</x:v>
      </x:c>
      <x:c r="K31" s="98" t="n">
        <x:f>0</x:f>
        <x:v>0</x:v>
      </x:c>
      <x:c r="L31" s="98" t="n">
        <x:f>0</x:f>
        <x:v>0</x:v>
      </x:c>
      <x:c r="M31" s="98" t="n">
        <x:f>0</x:f>
        <x:v>0</x:v>
      </x:c>
      <x:c r="N31" s="80"/>
      <x:c r="O31" s="80"/>
      <x:c r="P31" s="80"/>
      <x:c r="Q31" s="80"/>
      <x:c r="R31" s="80"/>
      <x:c r="S31" s="80"/>
      <x:c r="T31" s="80"/>
      <x:c r="U31" s="80"/>
      <x:c r="V31" s="80"/>
      <x:c r="W31" s="80"/>
      <x:c r="X31" s="80"/>
      <x:c r="Y31" s="80"/>
      <x:c r="Z31" s="80"/>
      <x:c r="AA31" s="80"/>
      <x:c r="AB31" s="80"/>
      <x:c r="AC31" s="80"/>
      <x:c r="AD31" s="80"/>
      <x:c r="AE31" s="80"/>
      <x:c r="AF31" s="80"/>
      <x:c r="AG31" s="80"/>
      <x:c r="AH31" s="80"/>
      <x:c r="AI31" s="80"/>
      <x:c r="AJ31" s="80"/>
      <x:c r="AK31" s="80"/>
      <x:c r="AL31" s="80"/>
      <x:c r="AM31" s="80"/>
      <x:c r="AN31" s="80"/>
      <x:c r="AO31" s="80"/>
      <x:c r="AP31" s="80"/>
      <x:c r="AQ31" s="80"/>
      <x:c r="AR31" s="80"/>
      <x:c r="AS31" s="80"/>
      <x:c r="AT31" s="80"/>
      <x:c r="AU31" s="80"/>
      <x:c r="AV31" s="80"/>
      <x:c r="AW31" s="80"/>
      <x:c r="AX31" s="80"/>
      <x:c r="AY31" s="80"/>
      <x:c r="AZ31" s="80"/>
    </x:row>
    <x:row r="32">
      <x:c r="A32" s="104" t="str">
        <x:v>E10 · Прачечная + склад: здание и инженерия</x:v>
      </x:c>
      <x:c r="B32" s="98" t="n">
        <x:f>0</x:f>
        <x:v>0</x:v>
      </x:c>
      <x:c r="C32" s="98" t="n">
        <x:f>0</x:f>
        <x:v>0</x:v>
      </x:c>
      <x:c r="D32" s="98" t="n">
        <x:f>0</x:f>
        <x:v>0</x:v>
      </x:c>
      <x:c r="E32" s="98" t="n">
        <x:f>0</x:f>
        <x:v>0</x:v>
      </x:c>
      <x:c r="F32" s="98" t="n">
        <x:f>0</x:f>
        <x:v>0</x:v>
      </x:c>
      <x:c r="G32" s="98" t="n">
        <x:f>'Build_CAPEX'!$H$32*0.3</x:f>
        <x:v>1350000</x:v>
      </x:c>
      <x:c r="H32" s="98" t="n">
        <x:f>'Build_CAPEX'!$H$32*0.4</x:f>
        <x:v>1800000</x:v>
      </x:c>
      <x:c r="I32" s="98" t="n">
        <x:f>'Build_CAPEX'!$H$32*0.3</x:f>
        <x:v>1350000</x:v>
      </x:c>
      <x:c r="J32" s="98" t="n">
        <x:f>0</x:f>
        <x:v>0</x:v>
      </x:c>
      <x:c r="K32" s="98" t="n">
        <x:f>0</x:f>
        <x:v>0</x:v>
      </x:c>
      <x:c r="L32" s="98" t="n">
        <x:f>0</x:f>
        <x:v>0</x:v>
      </x:c>
      <x:c r="M32" s="98" t="n">
        <x:f>0</x:f>
        <x:v>0</x:v>
      </x:c>
      <x:c r="N32" s="80"/>
      <x:c r="O32" s="80"/>
      <x:c r="P32" s="80"/>
      <x:c r="Q32" s="80"/>
      <x:c r="R32" s="80"/>
      <x:c r="S32" s="80"/>
      <x:c r="T32" s="80"/>
      <x:c r="U32" s="80"/>
      <x:c r="V32" s="80"/>
      <x:c r="W32" s="80"/>
      <x:c r="X32" s="80"/>
      <x:c r="Y32" s="80"/>
      <x:c r="Z32" s="80"/>
      <x:c r="AA32" s="80"/>
      <x:c r="AB32" s="80"/>
      <x:c r="AC32" s="80"/>
      <x:c r="AD32" s="80"/>
      <x:c r="AE32" s="80"/>
      <x:c r="AF32" s="80"/>
      <x:c r="AG32" s="80"/>
      <x:c r="AH32" s="80"/>
      <x:c r="AI32" s="80"/>
      <x:c r="AJ32" s="80"/>
      <x:c r="AK32" s="80"/>
      <x:c r="AL32" s="80"/>
      <x:c r="AM32" s="80"/>
      <x:c r="AN32" s="80"/>
      <x:c r="AO32" s="80"/>
      <x:c r="AP32" s="80"/>
      <x:c r="AQ32" s="80"/>
      <x:c r="AR32" s="80"/>
      <x:c r="AS32" s="80"/>
      <x:c r="AT32" s="80"/>
      <x:c r="AU32" s="80"/>
      <x:c r="AV32" s="80"/>
      <x:c r="AW32" s="80"/>
      <x:c r="AX32" s="80"/>
      <x:c r="AY32" s="80"/>
      <x:c r="AZ32" s="80"/>
    </x:row>
    <x:row r="33">
      <x:c r="A33" s="104" t="str">
        <x:v>E11 · Оборудование прачечной, склада и ресепшн</x:v>
      </x:c>
      <x:c r="B33" s="98" t="n">
        <x:f>0</x:f>
        <x:v>0</x:v>
      </x:c>
      <x:c r="C33" s="98" t="n">
        <x:f>0</x:f>
        <x:v>0</x:v>
      </x:c>
      <x:c r="D33" s="98" t="n">
        <x:f>0</x:f>
        <x:v>0</x:v>
      </x:c>
      <x:c r="E33" s="98" t="n">
        <x:f>0</x:f>
        <x:v>0</x:v>
      </x:c>
      <x:c r="F33" s="98" t="n">
        <x:f>0</x:f>
        <x:v>0</x:v>
      </x:c>
      <x:c r="G33" s="98" t="n">
        <x:f>0</x:f>
        <x:v>0</x:v>
      </x:c>
      <x:c r="H33" s="98" t="n">
        <x:f>0</x:f>
        <x:v>0</x:v>
      </x:c>
      <x:c r="I33" s="98" t="n">
        <x:f>0</x:f>
        <x:v>0</x:v>
      </x:c>
      <x:c r="J33" s="98" t="n">
        <x:f>'Build_CAPEX'!$H$33*0.5</x:f>
        <x:v>2750000</x:v>
      </x:c>
      <x:c r="K33" s="98" t="n">
        <x:f>'Build_CAPEX'!$H$33*0.5</x:f>
        <x:v>2750000</x:v>
      </x:c>
      <x:c r="L33" s="98" t="n">
        <x:f>0</x:f>
        <x:v>0</x:v>
      </x:c>
      <x:c r="M33" s="98" t="n">
        <x:f>0</x:f>
        <x:v>0</x:v>
      </x:c>
      <x:c r="N33" s="80"/>
      <x:c r="O33" s="80"/>
      <x:c r="P33" s="80"/>
      <x:c r="Q33" s="80"/>
      <x:c r="R33" s="80"/>
      <x:c r="S33" s="80"/>
      <x:c r="T33" s="80"/>
      <x:c r="U33" s="80"/>
      <x:c r="V33" s="80"/>
      <x:c r="W33" s="80"/>
      <x:c r="X33" s="80"/>
      <x:c r="Y33" s="80"/>
      <x:c r="Z33" s="80"/>
      <x:c r="AA33" s="80"/>
      <x:c r="AB33" s="80"/>
      <x:c r="AC33" s="80"/>
      <x:c r="AD33" s="80"/>
      <x:c r="AE33" s="80"/>
      <x:c r="AF33" s="80"/>
      <x:c r="AG33" s="80"/>
      <x:c r="AH33" s="80"/>
      <x:c r="AI33" s="80"/>
      <x:c r="AJ33" s="80"/>
      <x:c r="AK33" s="80"/>
      <x:c r="AL33" s="80"/>
      <x:c r="AM33" s="80"/>
      <x:c r="AN33" s="80"/>
      <x:c r="AO33" s="80"/>
      <x:c r="AP33" s="80"/>
      <x:c r="AQ33" s="80"/>
      <x:c r="AR33" s="80"/>
      <x:c r="AS33" s="80"/>
      <x:c r="AT33" s="80"/>
      <x:c r="AU33" s="80"/>
      <x:c r="AV33" s="80"/>
      <x:c r="AW33" s="80"/>
      <x:c r="AX33" s="80"/>
      <x:c r="AY33" s="80"/>
      <x:c r="AZ33" s="80"/>
    </x:row>
    <x:row r="34">
      <x:c r="A34" s="104" t="str">
        <x:v>E12 · Парковка, въездная группа и шлагбаум</x:v>
      </x:c>
      <x:c r="B34" s="98" t="n">
        <x:f>0</x:f>
        <x:v>0</x:v>
      </x:c>
      <x:c r="C34" s="98" t="n">
        <x:f>0</x:f>
        <x:v>0</x:v>
      </x:c>
      <x:c r="D34" s="98" t="n">
        <x:f>0</x:f>
        <x:v>0</x:v>
      </x:c>
      <x:c r="E34" s="98" t="n">
        <x:f>0</x:f>
        <x:v>0</x:v>
      </x:c>
      <x:c r="F34" s="98" t="n">
        <x:f>0</x:f>
        <x:v>0</x:v>
      </x:c>
      <x:c r="G34" s="98" t="n">
        <x:f>0</x:f>
        <x:v>0</x:v>
      </x:c>
      <x:c r="H34" s="98" t="n">
        <x:f>0</x:f>
        <x:v>0</x:v>
      </x:c>
      <x:c r="I34" s="98" t="n">
        <x:f>'Build_CAPEX'!$H$34*0.4</x:f>
        <x:v>1400000</x:v>
      </x:c>
      <x:c r="J34" s="98" t="n">
        <x:f>'Build_CAPEX'!$H$34*0.4</x:f>
        <x:v>1400000</x:v>
      </x:c>
      <x:c r="K34" s="98" t="n">
        <x:f>'Build_CAPEX'!$H$34*0.2</x:f>
        <x:v>700000</x:v>
      </x:c>
      <x:c r="L34" s="98" t="n">
        <x:f>0</x:f>
        <x:v>0</x:v>
      </x:c>
      <x:c r="M34" s="98" t="n">
        <x:f>0</x:f>
        <x:v>0</x:v>
      </x:c>
      <x:c r="N34" s="80"/>
      <x:c r="O34" s="80"/>
      <x:c r="P34" s="80"/>
      <x:c r="Q34" s="80"/>
      <x:c r="R34" s="80"/>
      <x:c r="S34" s="80"/>
      <x:c r="T34" s="80"/>
      <x:c r="U34" s="80"/>
      <x:c r="V34" s="80"/>
      <x:c r="W34" s="80"/>
      <x:c r="X34" s="80"/>
      <x:c r="Y34" s="80"/>
      <x:c r="Z34" s="80"/>
      <x:c r="AA34" s="80"/>
      <x:c r="AB34" s="80"/>
      <x:c r="AC34" s="80"/>
      <x:c r="AD34" s="80"/>
      <x:c r="AE34" s="80"/>
      <x:c r="AF34" s="80"/>
      <x:c r="AG34" s="80"/>
      <x:c r="AH34" s="80"/>
      <x:c r="AI34" s="80"/>
      <x:c r="AJ34" s="80"/>
      <x:c r="AK34" s="80"/>
      <x:c r="AL34" s="80"/>
      <x:c r="AM34" s="80"/>
      <x:c r="AN34" s="80"/>
      <x:c r="AO34" s="80"/>
      <x:c r="AP34" s="80"/>
      <x:c r="AQ34" s="80"/>
      <x:c r="AR34" s="80"/>
      <x:c r="AS34" s="80"/>
      <x:c r="AT34" s="80"/>
      <x:c r="AU34" s="80"/>
      <x:c r="AV34" s="80"/>
      <x:c r="AW34" s="80"/>
      <x:c r="AX34" s="80"/>
      <x:c r="AY34" s="80"/>
      <x:c r="AZ34" s="80"/>
    </x:row>
    <x:row r="35">
      <x:c r="A35" s="104" t="str">
        <x:v>E13 · Озеленение, навигация и наружное освещение</x:v>
      </x:c>
      <x:c r="B35" s="98" t="n">
        <x:f>0</x:f>
        <x:v>0</x:v>
      </x:c>
      <x:c r="C35" s="98" t="n">
        <x:f>0</x:f>
        <x:v>0</x:v>
      </x:c>
      <x:c r="D35" s="98" t="n">
        <x:f>0</x:f>
        <x:v>0</x:v>
      </x:c>
      <x:c r="E35" s="98" t="n">
        <x:f>0</x:f>
        <x:v>0</x:v>
      </x:c>
      <x:c r="F35" s="98" t="n">
        <x:f>0</x:f>
        <x:v>0</x:v>
      </x:c>
      <x:c r="G35" s="98" t="n">
        <x:f>0</x:f>
        <x:v>0</x:v>
      </x:c>
      <x:c r="H35" s="98" t="n">
        <x:f>0</x:f>
        <x:v>0</x:v>
      </x:c>
      <x:c r="I35" s="98" t="n">
        <x:f>0</x:f>
        <x:v>0</x:v>
      </x:c>
      <x:c r="J35" s="98" t="n">
        <x:f>'Build_CAPEX'!$H$35*0.35</x:f>
        <x:v>1225000</x:v>
      </x:c>
      <x:c r="K35" s="98" t="n">
        <x:f>'Build_CAPEX'!$H$35*0.4</x:f>
        <x:v>1400000</x:v>
      </x:c>
      <x:c r="L35" s="98" t="n">
        <x:f>'Build_CAPEX'!$H$35*0.25</x:f>
        <x:v>875000</x:v>
      </x:c>
      <x:c r="M35" s="98" t="n">
        <x:f>0</x:f>
        <x:v>0</x:v>
      </x:c>
      <x:c r="N35" s="80"/>
      <x:c r="O35" s="80"/>
      <x:c r="P35" s="80"/>
      <x:c r="Q35" s="80"/>
      <x:c r="R35" s="80"/>
      <x:c r="S35" s="80"/>
      <x:c r="T35" s="80"/>
      <x:c r="U35" s="80"/>
      <x:c r="V35" s="80"/>
      <x:c r="W35" s="80"/>
      <x:c r="X35" s="80"/>
      <x:c r="Y35" s="80"/>
      <x:c r="Z35" s="80"/>
      <x:c r="AA35" s="80"/>
      <x:c r="AB35" s="80"/>
      <x:c r="AC35" s="80"/>
      <x:c r="AD35" s="80"/>
      <x:c r="AE35" s="80"/>
      <x:c r="AF35" s="80"/>
      <x:c r="AG35" s="80"/>
      <x:c r="AH35" s="80"/>
      <x:c r="AI35" s="80"/>
      <x:c r="AJ35" s="80"/>
      <x:c r="AK35" s="80"/>
      <x:c r="AL35" s="80"/>
      <x:c r="AM35" s="80"/>
      <x:c r="AN35" s="80"/>
      <x:c r="AO35" s="80"/>
      <x:c r="AP35" s="80"/>
      <x:c r="AQ35" s="80"/>
      <x:c r="AR35" s="80"/>
      <x:c r="AS35" s="80"/>
      <x:c r="AT35" s="80"/>
      <x:c r="AU35" s="80"/>
      <x:c r="AV35" s="80"/>
      <x:c r="AW35" s="80"/>
      <x:c r="AX35" s="80"/>
      <x:c r="AY35" s="80"/>
      <x:c r="AZ35" s="80"/>
    </x:row>
    <x:row r="36">
      <x:c r="A36" s="104" t="str">
        <x:v>E14 · СКУД, CCTV, Wi-Fi, пожарная и тревожная системы</x:v>
      </x:c>
      <x:c r="B36" s="98" t="n">
        <x:f>0</x:f>
        <x:v>0</x:v>
      </x:c>
      <x:c r="C36" s="98" t="n">
        <x:f>0</x:f>
        <x:v>0</x:v>
      </x:c>
      <x:c r="D36" s="98" t="n">
        <x:f>0</x:f>
        <x:v>0</x:v>
      </x:c>
      <x:c r="E36" s="98" t="n">
        <x:f>0</x:f>
        <x:v>0</x:v>
      </x:c>
      <x:c r="F36" s="98" t="n">
        <x:f>0</x:f>
        <x:v>0</x:v>
      </x:c>
      <x:c r="G36" s="98" t="n">
        <x:f>0</x:f>
        <x:v>0</x:v>
      </x:c>
      <x:c r="H36" s="98" t="n">
        <x:f>0</x:f>
        <x:v>0</x:v>
      </x:c>
      <x:c r="I36" s="98" t="n">
        <x:f>0</x:f>
        <x:v>0</x:v>
      </x:c>
      <x:c r="J36" s="98" t="n">
        <x:f>'Build_CAPEX'!$H$36*0.4</x:f>
        <x:v>1200000</x:v>
      </x:c>
      <x:c r="K36" s="98" t="n">
        <x:f>'Build_CAPEX'!$H$36*0.4</x:f>
        <x:v>1200000</x:v>
      </x:c>
      <x:c r="L36" s="98" t="n">
        <x:f>'Build_CAPEX'!$H$36*0.2</x:f>
        <x:v>600000</x:v>
      </x:c>
      <x:c r="M36" s="98" t="n">
        <x:f>0</x:f>
        <x:v>0</x:v>
      </x:c>
      <x:c r="N36" s="80"/>
      <x:c r="O36" s="80"/>
      <x:c r="P36" s="80"/>
      <x:c r="Q36" s="80"/>
      <x:c r="R36" s="80"/>
      <x:c r="S36" s="80"/>
      <x:c r="T36" s="80"/>
      <x:c r="U36" s="80"/>
      <x:c r="V36" s="80"/>
      <x:c r="W36" s="80"/>
      <x:c r="X36" s="80"/>
      <x:c r="Y36" s="80"/>
      <x:c r="Z36" s="80"/>
      <x:c r="AA36" s="80"/>
      <x:c r="AB36" s="80"/>
      <x:c r="AC36" s="80"/>
      <x:c r="AD36" s="80"/>
      <x:c r="AE36" s="80"/>
      <x:c r="AF36" s="80"/>
      <x:c r="AG36" s="80"/>
      <x:c r="AH36" s="80"/>
      <x:c r="AI36" s="80"/>
      <x:c r="AJ36" s="80"/>
      <x:c r="AK36" s="80"/>
      <x:c r="AL36" s="80"/>
      <x:c r="AM36" s="80"/>
      <x:c r="AN36" s="80"/>
      <x:c r="AO36" s="80"/>
      <x:c r="AP36" s="80"/>
      <x:c r="AQ36" s="80"/>
      <x:c r="AR36" s="80"/>
      <x:c r="AS36" s="80"/>
      <x:c r="AT36" s="80"/>
      <x:c r="AU36" s="80"/>
      <x:c r="AV36" s="80"/>
      <x:c r="AW36" s="80"/>
      <x:c r="AX36" s="80"/>
      <x:c r="AY36" s="80"/>
      <x:c r="AZ36" s="80"/>
    </x:row>
    <x:row r="37">
      <x:c r="A37" s="104" t="str">
        <x:v>E15 · Первоначальный OS&amp;E, запас расходников и запуск</x:v>
      </x:c>
      <x:c r="B37" s="98" t="n">
        <x:f>0</x:f>
        <x:v>0</x:v>
      </x:c>
      <x:c r="C37" s="98" t="n">
        <x:f>0</x:f>
        <x:v>0</x:v>
      </x:c>
      <x:c r="D37" s="98" t="n">
        <x:f>0</x:f>
        <x:v>0</x:v>
      </x:c>
      <x:c r="E37" s="98" t="n">
        <x:f>0</x:f>
        <x:v>0</x:v>
      </x:c>
      <x:c r="F37" s="98" t="n">
        <x:f>0</x:f>
        <x:v>0</x:v>
      </x:c>
      <x:c r="G37" s="98" t="n">
        <x:f>0</x:f>
        <x:v>0</x:v>
      </x:c>
      <x:c r="H37" s="98" t="n">
        <x:f>0</x:f>
        <x:v>0</x:v>
      </x:c>
      <x:c r="I37" s="98" t="n">
        <x:f>0</x:f>
        <x:v>0</x:v>
      </x:c>
      <x:c r="J37" s="98" t="n">
        <x:f>0</x:f>
        <x:v>0</x:v>
      </x:c>
      <x:c r="K37" s="98" t="n">
        <x:f>0</x:f>
        <x:v>0</x:v>
      </x:c>
      <x:c r="L37" s="98" t="n">
        <x:f>'Build_CAPEX'!$H$37*0.6</x:f>
        <x:v>900000</x:v>
      </x:c>
      <x:c r="M37" s="98" t="n">
        <x:f>'Build_CAPEX'!$H$37*0.4</x:f>
        <x:v>600000</x:v>
      </x:c>
      <x:c r="N37" s="80"/>
      <x:c r="O37" s="80"/>
      <x:c r="P37" s="80"/>
      <x:c r="Q37" s="80"/>
      <x:c r="R37" s="80"/>
      <x:c r="S37" s="80"/>
      <x:c r="T37" s="80"/>
      <x:c r="U37" s="80"/>
      <x:c r="V37" s="80"/>
      <x:c r="W37" s="80"/>
      <x:c r="X37" s="80"/>
      <x:c r="Y37" s="80"/>
      <x:c r="Z37" s="80"/>
      <x:c r="AA37" s="80"/>
      <x:c r="AB37" s="80"/>
      <x:c r="AC37" s="80"/>
      <x:c r="AD37" s="80"/>
      <x:c r="AE37" s="80"/>
      <x:c r="AF37" s="80"/>
      <x:c r="AG37" s="80"/>
      <x:c r="AH37" s="80"/>
      <x:c r="AI37" s="80"/>
      <x:c r="AJ37" s="80"/>
      <x:c r="AK37" s="80"/>
      <x:c r="AL37" s="80"/>
      <x:c r="AM37" s="80"/>
      <x:c r="AN37" s="80"/>
      <x:c r="AO37" s="80"/>
      <x:c r="AP37" s="80"/>
      <x:c r="AQ37" s="80"/>
      <x:c r="AR37" s="80"/>
      <x:c r="AS37" s="80"/>
      <x:c r="AT37" s="80"/>
      <x:c r="AU37" s="80"/>
      <x:c r="AV37" s="80"/>
      <x:c r="AW37" s="80"/>
      <x:c r="AX37" s="80"/>
      <x:c r="AY37" s="80"/>
      <x:c r="AZ37" s="80"/>
    </x:row>
    <x:row r="38">
      <x:c r="A38" s="104" t="str">
        <x:v>E16 · Страхование, охрана и временная эксплуатация</x:v>
      </x:c>
      <x:c r="B38" s="98" t="n">
        <x:f>0</x:f>
        <x:v>0</x:v>
      </x:c>
      <x:c r="C38" s="98" t="n">
        <x:f>0</x:f>
        <x:v>0</x:v>
      </x:c>
      <x:c r="D38" s="98" t="n">
        <x:f>'Build_CAPEX'!$H$38*0.1</x:f>
        <x:v>80000</x:v>
      </x:c>
      <x:c r="E38" s="98" t="n">
        <x:f>'Build_CAPEX'!$H$38*0.1</x:f>
        <x:v>80000</x:v>
      </x:c>
      <x:c r="F38" s="98" t="n">
        <x:f>'Build_CAPEX'!$H$38*0.1</x:f>
        <x:v>80000</x:v>
      </x:c>
      <x:c r="G38" s="98" t="n">
        <x:f>'Build_CAPEX'!$H$38*0.1</x:f>
        <x:v>80000</x:v>
      </x:c>
      <x:c r="H38" s="98" t="n">
        <x:f>'Build_CAPEX'!$H$38*0.1</x:f>
        <x:v>80000</x:v>
      </x:c>
      <x:c r="I38" s="98" t="n">
        <x:f>'Build_CAPEX'!$H$38*0.1</x:f>
        <x:v>80000</x:v>
      </x:c>
      <x:c r="J38" s="98" t="n">
        <x:f>'Build_CAPEX'!$H$38*0.1</x:f>
        <x:v>80000</x:v>
      </x:c>
      <x:c r="K38" s="98" t="n">
        <x:f>'Build_CAPEX'!$H$38*0.1</x:f>
        <x:v>80000</x:v>
      </x:c>
      <x:c r="L38" s="98" t="n">
        <x:f>'Build_CAPEX'!$H$38*0.1</x:f>
        <x:v>80000</x:v>
      </x:c>
      <x:c r="M38" s="98" t="n">
        <x:f>'Build_CAPEX'!$H$38*0.1</x:f>
        <x:v>80000</x:v>
      </x:c>
      <x:c r="N38" s="80"/>
      <x:c r="O38" s="80"/>
      <x:c r="P38" s="80"/>
      <x:c r="Q38" s="80"/>
      <x:c r="R38" s="80"/>
      <x:c r="S38" s="80"/>
      <x:c r="T38" s="80"/>
      <x:c r="U38" s="80"/>
      <x:c r="V38" s="80"/>
      <x:c r="W38" s="80"/>
      <x:c r="X38" s="80"/>
      <x:c r="Y38" s="80"/>
      <x:c r="Z38" s="80"/>
      <x:c r="AA38" s="80"/>
      <x:c r="AB38" s="80"/>
      <x:c r="AC38" s="80"/>
      <x:c r="AD38" s="80"/>
      <x:c r="AE38" s="80"/>
      <x:c r="AF38" s="80"/>
      <x:c r="AG38" s="80"/>
      <x:c r="AH38" s="80"/>
      <x:c r="AI38" s="80"/>
      <x:c r="AJ38" s="80"/>
      <x:c r="AK38" s="80"/>
      <x:c r="AL38" s="80"/>
      <x:c r="AM38" s="80"/>
      <x:c r="AN38" s="80"/>
      <x:c r="AO38" s="80"/>
      <x:c r="AP38" s="80"/>
      <x:c r="AQ38" s="80"/>
      <x:c r="AR38" s="80"/>
      <x:c r="AS38" s="80"/>
      <x:c r="AT38" s="80"/>
      <x:c r="AU38" s="80"/>
      <x:c r="AV38" s="80"/>
      <x:c r="AW38" s="80"/>
      <x:c r="AX38" s="80"/>
      <x:c r="AY38" s="80"/>
      <x:c r="AZ38" s="80"/>
    </x:row>
    <x:row r="39">
      <x:c r="A39" s="104" t="str">
        <x:v>F01 · Project management и технический надзор</x:v>
      </x:c>
      <x:c r="B39" s="98" t="n">
        <x:f>'Build_CAPEX'!$H$39*0.083333</x:f>
        <x:v>869069.433483361</x:v>
      </x:c>
      <x:c r="C39" s="98" t="n">
        <x:f>'Build_CAPEX'!$H$39*0.083333</x:f>
        <x:v>869069.433483361</x:v>
      </x:c>
      <x:c r="D39" s="98" t="n">
        <x:f>'Build_CAPEX'!$H$39*0.083333</x:f>
        <x:v>869069.433483361</x:v>
      </x:c>
      <x:c r="E39" s="98" t="n">
        <x:f>'Build_CAPEX'!$H$39*0.083333</x:f>
        <x:v>869069.433483361</x:v>
      </x:c>
      <x:c r="F39" s="98" t="n">
        <x:f>'Build_CAPEX'!$H$39*0.083333</x:f>
        <x:v>869069.433483361</x:v>
      </x:c>
      <x:c r="G39" s="98" t="n">
        <x:f>'Build_CAPEX'!$H$39*0.083333</x:f>
        <x:v>869069.433483361</x:v>
      </x:c>
      <x:c r="H39" s="98" t="n">
        <x:f>'Build_CAPEX'!$H$39*0.083333</x:f>
        <x:v>869069.433483361</x:v>
      </x:c>
      <x:c r="I39" s="98" t="n">
        <x:f>'Build_CAPEX'!$H$39*0.083333</x:f>
        <x:v>869069.433483361</x:v>
      </x:c>
      <x:c r="J39" s="98" t="n">
        <x:f>'Build_CAPEX'!$H$39*0.083333</x:f>
        <x:v>869069.433483361</x:v>
      </x:c>
      <x:c r="K39" s="98" t="n">
        <x:f>'Build_CAPEX'!$H$39*0.083333</x:f>
        <x:v>869069.433483361</x:v>
      </x:c>
      <x:c r="L39" s="98" t="n">
        <x:f>'Build_CAPEX'!$H$39*0.083333</x:f>
        <x:v>869069.433483361</x:v>
      </x:c>
      <x:c r="M39" s="98" t="n">
        <x:f>'Build_CAPEX'!$H$39*0.083337</x:f>
        <x:v>869111.1489830301</x:v>
      </x:c>
      <x:c r="N39" s="80"/>
      <x:c r="O39" s="80"/>
      <x:c r="P39" s="80"/>
      <x:c r="Q39" s="80"/>
      <x:c r="R39" s="80"/>
      <x:c r="S39" s="80"/>
      <x:c r="T39" s="80"/>
      <x:c r="U39" s="80"/>
      <x:c r="V39" s="80"/>
      <x:c r="W39" s="80"/>
      <x:c r="X39" s="80"/>
      <x:c r="Y39" s="80"/>
      <x:c r="Z39" s="80"/>
      <x:c r="AA39" s="80"/>
      <x:c r="AB39" s="80"/>
      <x:c r="AC39" s="80"/>
      <x:c r="AD39" s="80"/>
      <x:c r="AE39" s="80"/>
      <x:c r="AF39" s="80"/>
      <x:c r="AG39" s="80"/>
      <x:c r="AH39" s="80"/>
      <x:c r="AI39" s="80"/>
      <x:c r="AJ39" s="80"/>
      <x:c r="AK39" s="80"/>
      <x:c r="AL39" s="80"/>
      <x:c r="AM39" s="80"/>
      <x:c r="AN39" s="80"/>
      <x:c r="AO39" s="80"/>
      <x:c r="AP39" s="80"/>
      <x:c r="AQ39" s="80"/>
      <x:c r="AR39" s="80"/>
      <x:c r="AS39" s="80"/>
      <x:c r="AT39" s="80"/>
      <x:c r="AU39" s="80"/>
      <x:c r="AV39" s="80"/>
      <x:c r="AW39" s="80"/>
      <x:c r="AX39" s="80"/>
      <x:c r="AY39" s="80"/>
      <x:c r="AZ39" s="80"/>
    </x:row>
    <x:row r="40">
      <x:c r="A40" s="104" t="str">
        <x:v>F02 · Contingency до завершения BoD/RFQ</x:v>
      </x:c>
      <x:c r="B40" s="98" t="n">
        <x:f>'Build_CAPEX'!$H$40*0.04</x:f>
        <x:v>765181.4510750398</x:v>
      </x:c>
      <x:c r="C40" s="98" t="n">
        <x:f>'Build_CAPEX'!$H$40*0.04</x:f>
        <x:v>765181.4510750398</x:v>
      </x:c>
      <x:c r="D40" s="98" t="n">
        <x:f>'Build_CAPEX'!$H$40*0.06</x:f>
        <x:v>1147772.1766125597</x:v>
      </x:c>
      <x:c r="E40" s="98" t="n">
        <x:f>'Build_CAPEX'!$H$40*0.08</x:f>
        <x:v>1530362.9021500796</x:v>
      </x:c>
      <x:c r="F40" s="98" t="n">
        <x:f>'Build_CAPEX'!$H$40*0.1</x:f>
        <x:v>1912953.6276875995</x:v>
      </x:c>
      <x:c r="G40" s="98" t="n">
        <x:f>'Build_CAPEX'!$H$40*0.12</x:f>
        <x:v>2295544.3532251194</x:v>
      </x:c>
      <x:c r="H40" s="98" t="n">
        <x:f>'Build_CAPEX'!$H$40*0.14</x:f>
        <x:v>2678135.07876264</x:v>
      </x:c>
      <x:c r="I40" s="98" t="n">
        <x:f>'Build_CAPEX'!$H$40*0.14</x:f>
        <x:v>2678135.07876264</x:v>
      </x:c>
      <x:c r="J40" s="98" t="n">
        <x:f>'Build_CAPEX'!$H$40*0.12</x:f>
        <x:v>2295544.3532251194</x:v>
      </x:c>
      <x:c r="K40" s="98" t="n">
        <x:f>'Build_CAPEX'!$H$40*0.08</x:f>
        <x:v>1530362.9021500796</x:v>
      </x:c>
      <x:c r="L40" s="98" t="n">
        <x:f>'Build_CAPEX'!$H$40*0.05</x:f>
        <x:v>956476.8138437998</x:v>
      </x:c>
      <x:c r="M40" s="98" t="n">
        <x:f>'Build_CAPEX'!$H$40*0.03</x:f>
        <x:v>573886.0883062799</x:v>
      </x:c>
      <x:c r="N40" s="80"/>
      <x:c r="O40" s="80"/>
      <x:c r="P40" s="80"/>
      <x:c r="Q40" s="80"/>
      <x:c r="R40" s="80"/>
      <x:c r="S40" s="80"/>
      <x:c r="T40" s="80"/>
      <x:c r="U40" s="80"/>
      <x:c r="V40" s="80"/>
      <x:c r="W40" s="80"/>
      <x:c r="X40" s="80"/>
      <x:c r="Y40" s="80"/>
      <x:c r="Z40" s="80"/>
      <x:c r="AA40" s="80"/>
      <x:c r="AB40" s="80"/>
      <x:c r="AC40" s="80"/>
      <x:c r="AD40" s="80"/>
      <x:c r="AE40" s="80"/>
      <x:c r="AF40" s="80"/>
      <x:c r="AG40" s="80"/>
      <x:c r="AH40" s="80"/>
      <x:c r="AI40" s="80"/>
      <x:c r="AJ40" s="80"/>
      <x:c r="AK40" s="80"/>
      <x:c r="AL40" s="80"/>
      <x:c r="AM40" s="80"/>
      <x:c r="AN40" s="80"/>
      <x:c r="AO40" s="80"/>
      <x:c r="AP40" s="80"/>
      <x:c r="AQ40" s="80"/>
      <x:c r="AR40" s="80"/>
      <x:c r="AS40" s="80"/>
      <x:c r="AT40" s="80"/>
      <x:c r="AU40" s="80"/>
      <x:c r="AV40" s="80"/>
      <x:c r="AW40" s="80"/>
      <x:c r="AX40" s="80"/>
      <x:c r="AY40" s="80"/>
      <x:c r="AZ40" s="80"/>
    </x:row>
    <x:row r="41">
      <x:c r="A41" s="80"/>
      <x:c r="B41" s="98"/>
      <x:c r="C41" s="98"/>
      <x:c r="D41" s="98"/>
      <x:c r="E41" s="98"/>
      <x:c r="F41" s="98"/>
      <x:c r="G41" s="98"/>
      <x:c r="H41" s="98"/>
      <x:c r="I41" s="98"/>
      <x:c r="J41" s="98"/>
      <x:c r="K41" s="98"/>
      <x:c r="L41" s="98"/>
      <x:c r="M41" s="98"/>
      <x:c r="N41" s="80"/>
      <x:c r="O41" s="80"/>
      <x:c r="P41" s="80"/>
      <x:c r="Q41" s="80"/>
      <x:c r="R41" s="80"/>
      <x:c r="S41" s="80"/>
      <x:c r="T41" s="80"/>
      <x:c r="U41" s="80"/>
      <x:c r="V41" s="80"/>
      <x:c r="W41" s="80"/>
      <x:c r="X41" s="80"/>
      <x:c r="Y41" s="80"/>
      <x:c r="Z41" s="80"/>
      <x:c r="AA41" s="80"/>
      <x:c r="AB41" s="80"/>
      <x:c r="AC41" s="80"/>
      <x:c r="AD41" s="80"/>
      <x:c r="AE41" s="80"/>
      <x:c r="AF41" s="80"/>
      <x:c r="AG41" s="80"/>
      <x:c r="AH41" s="80"/>
      <x:c r="AI41" s="80"/>
      <x:c r="AJ41" s="80"/>
      <x:c r="AK41" s="80"/>
      <x:c r="AL41" s="80"/>
      <x:c r="AM41" s="80"/>
      <x:c r="AN41" s="80"/>
      <x:c r="AO41" s="80"/>
      <x:c r="AP41" s="80"/>
      <x:c r="AQ41" s="80"/>
      <x:c r="AR41" s="80"/>
      <x:c r="AS41" s="80"/>
      <x:c r="AT41" s="80"/>
      <x:c r="AU41" s="80"/>
      <x:c r="AV41" s="80"/>
      <x:c r="AW41" s="80"/>
      <x:c r="AX41" s="80"/>
      <x:c r="AY41" s="80"/>
      <x:c r="AZ41" s="80"/>
    </x:row>
    <x:row r="42">
      <x:c r="A42" s="99" t="str">
        <x:v>MONTHLY CAPEX</x:v>
      </x:c>
      <x:c r="B42" s="100" t="n">
        <x:f>SUM(B5:B40)</x:f>
        <x:v>7214250.884558401</x:v>
      </x:c>
      <x:c r="C42" s="100" t="n">
        <x:f>SUM(C5:C40)</x:f>
        <x:v>7284250.884558401</x:v>
      </x:c>
      <x:c r="D42" s="100" t="n">
        <x:f>SUM(D5:D40)</x:f>
        <x:v>6626841.610095921</x:v>
      </x:c>
      <x:c r="E42" s="100" t="n">
        <x:f>SUM(E5:E40)</x:f>
        <x:v>14439432.33563344</x:v>
      </x:c>
      <x:c r="F42" s="100" t="n">
        <x:f>SUM(F5:F40)</x:f>
        <x:v>27776660.43617096</x:v>
      </x:c>
      <x:c r="G42" s="100" t="n">
        <x:f>SUM(G5:G40)</x:f>
        <x:v>35700151.16170848</x:v>
      </x:c>
      <x:c r="H42" s="100" t="n">
        <x:f>SUM(H5:H40)</x:f>
        <x:v>21021604.512246</x:v>
      </x:c>
      <x:c r="I42" s="100" t="n">
        <x:f>SUM(I5:I40)</x:f>
        <x:v>14003404.512246</x:v>
      </x:c>
      <x:c r="J42" s="100" t="n">
        <x:f>SUM(J5:J40)</x:f>
        <x:v>20531940.106708482</x:v>
      </x:c>
      <x:c r="K42" s="100" t="n">
        <x:f>SUM(K5:K40)</x:f>
        <x:v>17180258.655633442</x:v>
      </x:c>
      <x:c r="L42" s="100" t="n">
        <x:f>SUM(L5:L40)</x:f>
        <x:v>4640546.247327161</x:v>
      </x:c>
      <x:c r="M42" s="100" t="n">
        <x:f>SUM(M5:M40)</x:f>
        <x:v>2122997.23728931</x:v>
      </x:c>
      <x:c r="N42" s="80"/>
      <x:c r="O42" s="80"/>
      <x:c r="P42" s="80"/>
      <x:c r="Q42" s="80"/>
      <x:c r="R42" s="80"/>
      <x:c r="S42" s="80"/>
      <x:c r="T42" s="80"/>
      <x:c r="U42" s="80"/>
      <x:c r="V42" s="80"/>
      <x:c r="W42" s="80"/>
      <x:c r="X42" s="80"/>
      <x:c r="Y42" s="80"/>
      <x:c r="Z42" s="80"/>
      <x:c r="AA42" s="80"/>
      <x:c r="AB42" s="80"/>
      <x:c r="AC42" s="80"/>
      <x:c r="AD42" s="80"/>
      <x:c r="AE42" s="80"/>
      <x:c r="AF42" s="80"/>
      <x:c r="AG42" s="80"/>
      <x:c r="AH42" s="80"/>
      <x:c r="AI42" s="80"/>
      <x:c r="AJ42" s="80"/>
      <x:c r="AK42" s="80"/>
      <x:c r="AL42" s="80"/>
      <x:c r="AM42" s="80"/>
      <x:c r="AN42" s="80"/>
      <x:c r="AO42" s="80"/>
      <x:c r="AP42" s="80"/>
      <x:c r="AQ42" s="80"/>
      <x:c r="AR42" s="80"/>
      <x:c r="AS42" s="80"/>
      <x:c r="AT42" s="80"/>
      <x:c r="AU42" s="80"/>
      <x:c r="AV42" s="80"/>
      <x:c r="AW42" s="80"/>
      <x:c r="AX42" s="80"/>
      <x:c r="AY42" s="80"/>
      <x:c r="AZ42" s="80"/>
    </x:row>
  </x:sheetData>
  <x:mergeCells>
    <x:mergeCell ref="A1:M1"/>
    <x:mergeCell ref="A2:M2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8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  <x:col min="18" max="18" width="13" hidden="0" customWidth="1"/>
    <x:col min="19" max="19" width="13" hidden="0" customWidth="1"/>
    <x:col min="20" max="20" width="13" hidden="0" customWidth="1"/>
    <x:col min="21" max="21" width="13" hidden="0" customWidth="1"/>
    <x:col min="22" max="22" width="13" hidden="0" customWidth="1"/>
    <x:col min="23" max="23" width="13" hidden="0" customWidth="1"/>
    <x:col min="24" max="24" width="13" hidden="0" customWidth="1"/>
    <x:col min="25" max="25" width="13" hidden="0" customWidth="1"/>
    <x:col min="26" max="26" width="13" hidden="0" customWidth="1"/>
    <x:col min="27" max="27" width="13" hidden="0" customWidth="1"/>
    <x:col min="28" max="28" width="13" hidden="0" customWidth="1"/>
    <x:col min="29" max="29" width="13" hidden="0" customWidth="1"/>
    <x:col min="30" max="30" width="13" hidden="0" customWidth="1"/>
    <x:col min="31" max="31" width="13" hidden="0" customWidth="1"/>
    <x:col min="32" max="32" width="13" hidden="0" customWidth="1"/>
    <x:col min="33" max="33" width="13" hidden="0" customWidth="1"/>
    <x:col min="34" max="34" width="13" hidden="0" customWidth="1"/>
    <x:col min="35" max="35" width="13" hidden="0" customWidth="1"/>
    <x:col min="36" max="36" width="13" hidden="0" customWidth="1"/>
    <x:col min="37" max="37" width="13" hidden="0" customWidth="1"/>
  </x:cols>
  <x:sheetData>
    <x:row r="1" ht="32" customHeight="1">
      <x:c r="A1" s="4" t="str">
        <x:v>Operating OPEX — полная детализация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Переменные и постоянные расходы разделены. Все строки имеют измеримый драйвер. Суммы в рублях.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79"/>
      <x:c r="M2" s="79"/>
      <x:c r="N2" s="79"/>
      <x:c r="O2" s="79"/>
      <x:c r="P2" s="79"/>
      <x:c r="Q2" s="79"/>
      <x:c r="R2" s="79"/>
      <x:c r="S2" s="79"/>
      <x:c r="T2" s="79"/>
      <x:c r="U2" s="79"/>
      <x:c r="V2" s="79"/>
      <x:c r="W2" s="79"/>
      <x:c r="X2" s="79"/>
      <x:c r="Y2" s="79"/>
      <x:c r="Z2" s="79"/>
      <x:c r="AA2" s="79"/>
      <x:c r="AB2" s="79"/>
      <x:c r="AC2" s="79"/>
      <x:c r="AD2" s="79"/>
      <x:c r="AE2" s="79"/>
      <x:c r="AF2" s="79"/>
      <x:c r="AG2" s="79"/>
      <x:c r="AH2" s="79"/>
      <x:c r="AI2" s="79"/>
      <x:c r="AJ2" s="79"/>
      <x:c r="AK2" s="79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>
      <x:c r="A4" s="80"/>
      <x:c r="B4" s="80"/>
      <x:c r="C4" s="80"/>
      <x:c r="D4" s="80"/>
      <x:c r="E4" s="80"/>
      <x:c r="F4" s="80"/>
      <x:c r="G4" s="80"/>
      <x:c r="H4" s="80"/>
      <x:c r="I4" s="80"/>
      <x:c r="J4" s="80"/>
      <x:c r="K4" s="80"/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 ht="26" customHeight="1">
      <x:c r="A5" s="101" t="str">
        <x:v>Статья</x:v>
      </x:c>
      <x:c r="B5" s="105" t="n">
        <x:v>46753</x:v>
      </x:c>
      <x:c r="C5" s="105" t="n">
        <x:v>46784</x:v>
      </x:c>
      <x:c r="D5" s="105" t="n">
        <x:v>46813</x:v>
      </x:c>
      <x:c r="E5" s="105" t="n">
        <x:v>46844</x:v>
      </x:c>
      <x:c r="F5" s="105" t="n">
        <x:v>46874</x:v>
      </x:c>
      <x:c r="G5" s="105" t="n">
        <x:v>46905</x:v>
      </x:c>
      <x:c r="H5" s="105" t="n">
        <x:v>46935</x:v>
      </x:c>
      <x:c r="I5" s="105" t="n">
        <x:v>46966</x:v>
      </x:c>
      <x:c r="J5" s="105" t="n">
        <x:v>46997</x:v>
      </x:c>
      <x:c r="K5" s="105" t="n">
        <x:v>47027</x:v>
      </x:c>
      <x:c r="L5" s="105" t="n">
        <x:v>47058</x:v>
      </x:c>
      <x:c r="M5" s="105" t="n">
        <x:v>47088</x:v>
      </x:c>
      <x:c r="N5" s="105" t="n">
        <x:v>47119</x:v>
      </x:c>
      <x:c r="O5" s="105" t="n">
        <x:v>47150</x:v>
      </x:c>
      <x:c r="P5" s="105" t="n">
        <x:v>47178</x:v>
      </x:c>
      <x:c r="Q5" s="105" t="n">
        <x:v>47209</x:v>
      </x:c>
      <x:c r="R5" s="105" t="n">
        <x:v>47239</x:v>
      </x:c>
      <x:c r="S5" s="105" t="n">
        <x:v>47270</x:v>
      </x:c>
      <x:c r="T5" s="105" t="n">
        <x:v>47300</x:v>
      </x:c>
      <x:c r="U5" s="105" t="n">
        <x:v>47331</x:v>
      </x:c>
      <x:c r="V5" s="105" t="n">
        <x:v>47362</x:v>
      </x:c>
      <x:c r="W5" s="105" t="n">
        <x:v>47392</x:v>
      </x:c>
      <x:c r="X5" s="105" t="n">
        <x:v>47423</x:v>
      </x:c>
      <x:c r="Y5" s="105" t="n">
        <x:v>47453</x:v>
      </x:c>
      <x:c r="Z5" s="105" t="n">
        <x:v>47484</x:v>
      </x:c>
      <x:c r="AA5" s="105" t="n">
        <x:v>47515</x:v>
      </x:c>
      <x:c r="AB5" s="105" t="n">
        <x:v>47543</x:v>
      </x:c>
      <x:c r="AC5" s="105" t="n">
        <x:v>47574</x:v>
      </x:c>
      <x:c r="AD5" s="105" t="n">
        <x:v>47604</x:v>
      </x:c>
      <x:c r="AE5" s="105" t="n">
        <x:v>47635</x:v>
      </x:c>
      <x:c r="AF5" s="105" t="n">
        <x:v>47665</x:v>
      </x:c>
      <x:c r="AG5" s="105" t="n">
        <x:v>47696</x:v>
      </x:c>
      <x:c r="AH5" s="105" t="n">
        <x:v>47727</x:v>
      </x:c>
      <x:c r="AI5" s="105" t="n">
        <x:v>47757</x:v>
      </x:c>
      <x:c r="AJ5" s="105" t="n">
        <x:v>47788</x:v>
      </x:c>
      <x:c r="AK5" s="105" t="n">
        <x:v>47818</x:v>
      </x:c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0"/>
      <x:c r="B6" s="80"/>
      <x:c r="C6" s="80"/>
      <x:c r="D6" s="80"/>
      <x:c r="E6" s="80"/>
      <x:c r="F6" s="80"/>
      <x:c r="G6" s="80"/>
      <x:c r="H6" s="80"/>
      <x:c r="I6" s="80"/>
      <x:c r="J6" s="80"/>
      <x:c r="K6" s="80"/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 ht="22" customHeight="1">
      <x:c r="A7" s="106" t="str">
        <x:v>ПЕРЕМЕННЫЕ РАСХОДЫ</x:v>
      </x:c>
      <x:c r="B7" s="106"/>
      <x:c r="C7" s="106"/>
      <x:c r="D7" s="106"/>
      <x:c r="E7" s="106"/>
      <x:c r="F7" s="106"/>
      <x:c r="G7" s="106"/>
      <x:c r="H7" s="106"/>
      <x:c r="I7" s="106"/>
      <x:c r="J7" s="106"/>
      <x:c r="K7" s="106"/>
      <x:c r="L7" s="106"/>
      <x:c r="M7" s="106"/>
      <x:c r="N7" s="106"/>
      <x:c r="O7" s="106"/>
      <x:c r="P7" s="106"/>
      <x:c r="Q7" s="106"/>
      <x:c r="R7" s="106"/>
      <x:c r="S7" s="106"/>
      <x:c r="T7" s="106"/>
      <x:c r="U7" s="106"/>
      <x:c r="V7" s="106"/>
      <x:c r="W7" s="106"/>
      <x:c r="X7" s="106"/>
      <x:c r="Y7" s="106"/>
      <x:c r="Z7" s="106"/>
      <x:c r="AA7" s="106"/>
      <x:c r="AB7" s="106"/>
      <x:c r="AC7" s="106"/>
      <x:c r="AD7" s="106"/>
      <x:c r="AE7" s="106"/>
      <x:c r="AF7" s="106"/>
      <x:c r="AG7" s="106"/>
      <x:c r="AH7" s="106"/>
      <x:c r="AI7" s="106"/>
      <x:c r="AJ7" s="106"/>
      <x:c r="AK7" s="106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80" t="str">
        <x:v>Комиссия Яндекс Путешествия</x:v>
      </x:c>
      <x:c r="B8" s="98" t="n">
        <x:f>'PnL_36M'!B$14*'Assumptions'!$B$20*'Assumptions'!$B$23</x:f>
        <x:v>38061.120446272005</x:v>
      </x:c>
      <x:c r="C8" s="98" t="n">
        <x:f>'PnL_36M'!C$14*'Assumptions'!$B$20*'Assumptions'!$B$23</x:f>
        <x:v>44729.73314712</x:v>
      </x:c>
      <x:c r="D8" s="98" t="n">
        <x:f>'PnL_36M'!D$14*'Assumptions'!$B$20*'Assumptions'!$B$23</x:f>
        <x:v>60123.81608990401</x:v>
      </x:c>
      <x:c r="E8" s="98" t="n">
        <x:f>'PnL_36M'!E$14*'Assumptions'!$B$20*'Assumptions'!$B$23</x:f>
        <x:v>71502.69887544001</x:v>
      </x:c>
      <x:c r="F8" s="98" t="n">
        <x:f>'PnL_36M'!F$14*'Assumptions'!$B$20*'Assumptions'!$B$23</x:f>
        <x:v>90232.647211448</x:v>
      </x:c>
      <x:c r="G8" s="98" t="n">
        <x:f>'PnL_36M'!G$14*'Assumptions'!$B$20*'Assumptions'!$B$23</x:f>
        <x:v>118240.83513984003</x:v>
      </x:c>
      <x:c r="H8" s="98" t="n">
        <x:f>'PnL_36M'!H$14*'Assumptions'!$B$20*'Assumptions'!$B$23</x:f>
        <x:v>142760.69127264</x:v>
      </x:c>
      <x:c r="I8" s="98" t="n">
        <x:f>'PnL_36M'!I$14*'Assumptions'!$B$20*'Assumptions'!$B$23</x:f>
        <x:v>130364.5646408</x:v>
      </x:c>
      <x:c r="J8" s="98" t="n">
        <x:f>'PnL_36M'!J$14*'Assumptions'!$B$20*'Assumptions'!$B$23</x:f>
        <x:v>99855.34907712002</x:v>
      </x:c>
      <x:c r="K8" s="98" t="n">
        <x:f>'PnL_36M'!K$14*'Assumptions'!$B$20*'Assumptions'!$B$23</x:f>
        <x:v>87552.46957150403</x:v>
      </x:c>
      <x:c r="L8" s="98" t="n">
        <x:f>'PnL_36M'!L$14*'Assumptions'!$B$20*'Assumptions'!$B$23</x:f>
        <x:v>70747.93350240002</x:v>
      </x:c>
      <x:c r="M8" s="98" t="n">
        <x:f>'PnL_36M'!M$14*'Assumptions'!$B$20*'Assumptions'!$B$23</x:f>
        <x:v>115833.19177589602</x:v>
      </x:c>
      <x:c r="N8" s="98" t="n">
        <x:f>'PnL_36M'!N$14*'Assumptions'!$B$20*'Assumptions'!$B$23</x:f>
        <x:v>67214.08084697154</x:v>
      </x:c>
      <x:c r="O8" s="98" t="n">
        <x:f>'PnL_36M'!O$14*'Assumptions'!$B$20*'Assumptions'!$B$23</x:f>
        <x:v>66344.21495069761</x:v>
      </x:c>
      <x:c r="P8" s="98" t="n">
        <x:f>'PnL_36M'!P$14*'Assumptions'!$B$20*'Assumptions'!$B$23</x:f>
        <x:v>82391.44573679884</x:v>
      </x:c>
      <x:c r="Q8" s="98" t="n">
        <x:f>'PnL_36M'!Q$14*'Assumptions'!$B$20*'Assumptions'!$B$23</x:f>
        <x:v>89714.35152135123</x:v>
      </x:c>
      <x:c r="R8" s="98" t="n">
        <x:f>'PnL_36M'!R$14*'Assumptions'!$B$20*'Assumptions'!$B$23</x:f>
        <x:v>105338.74393901434</x:v>
      </x:c>
      <x:c r="S8" s="98" t="n">
        <x:f>'PnL_36M'!S$14*'Assumptions'!$B$20*'Assumptions'!$B$23</x:f>
        <x:v>130063.02011754246</x:v>
      </x:c>
      <x:c r="T8" s="98" t="n">
        <x:f>'PnL_36M'!T$14*'Assumptions'!$B$20*'Assumptions'!$B$23</x:f>
        <x:v>156560.6106400224</x:v>
      </x:c>
      <x:c r="U8" s="98" t="n">
        <x:f>'PnL_36M'!U$14*'Assumptions'!$B$20*'Assumptions'!$B$23</x:f>
        <x:v>143246.2404805712</x:v>
      </x:c>
      <x:c r="V8" s="98" t="n">
        <x:f>'PnL_36M'!V$14*'Assumptions'!$B$20*'Assumptions'!$B$23</x:f>
        <x:v>110236.70954325121</x:v>
      </x:c>
      <x:c r="W8" s="98" t="n">
        <x:f>'PnL_36M'!W$14*'Assumptions'!$B$20*'Assumptions'!$B$23</x:f>
        <x:v>97080.27802346389</x:v>
      </x:c>
      <x:c r="X8" s="98" t="n">
        <x:f>'PnL_36M'!X$14*'Assumptions'!$B$20*'Assumptions'!$B$23</x:f>
        <x:v>78876.30601233602</x:v>
      </x:c>
      <x:c r="Y8" s="98" t="n">
        <x:f>'PnL_36M'!Y$14*'Assumptions'!$B$20*'Assumptions'!$B$23</x:f>
        <x:v>127712.1282964974</x:v>
      </x:c>
      <x:c r="Z8" s="98" t="n">
        <x:f>'PnL_36M'!Z$14*'Assumptions'!$B$20*'Assumptions'!$B$23</x:f>
        <x:v>74501.94864228796</x:v>
      </x:c>
      <x:c r="AA8" s="98" t="n">
        <x:f>'PnL_36M'!AA$14*'Assumptions'!$B$20*'Assumptions'!$B$23</x:f>
        <x:v>73331.7072246219</x:v>
      </x:c>
      <x:c r="AB8" s="98" t="n">
        <x:f>'PnL_36M'!AB$14*'Assumptions'!$B$20*'Assumptions'!$B$23</x:f>
        <x:v>90774.89991098772</x:v>
      </x:c>
      <x:c r="AC8" s="98" t="n">
        <x:f>'PnL_36M'!AC$14*'Assumptions'!$B$20*'Assumptions'!$B$23</x:f>
        <x:v>98569.39617879417</x:v>
      </x:c>
      <x:c r="AD8" s="98" t="n">
        <x:f>'PnL_36M'!AD$14*'Assumptions'!$B$20*'Assumptions'!$B$23</x:f>
        <x:v>115394.94718210872</x:v>
      </x:c>
      <x:c r="AE8" s="98" t="n">
        <x:f>'PnL_36M'!AE$14*'Assumptions'!$B$20*'Assumptions'!$B$23</x:f>
        <x:v>141875.9204937716</x:v>
      </x:c>
      <x:c r="AF8" s="98" t="n">
        <x:f>'PnL_36M'!AF$14*'Assumptions'!$B$20*'Assumptions'!$B$23</x:f>
        <x:v>170392.91493001214</x:v>
      </x:c>
      <x:c r="AG8" s="98" t="n">
        <x:f>'PnL_36M'!AG$14*'Assumptions'!$B$20*'Assumptions'!$B$23</x:f>
        <x:v>156131.72697260758</x:v>
      </x:c>
      <x:c r="AH8" s="98" t="n">
        <x:f>'PnL_36M'!AH$14*'Assumptions'!$B$20*'Assumptions'!$B$23</x:f>
        <x:v>120573.66563008171</x:v>
      </x:c>
      <x:c r="AI8" s="98" t="n">
        <x:f>'PnL_36M'!AI$14*'Assumptions'!$B$20*'Assumptions'!$B$23</x:f>
        <x:v>106530.00662033554</x:v>
      </x:c>
      <x:c r="AJ8" s="98" t="n">
        <x:f>'PnL_36M'!AJ$14*'Assumptions'!$B$20*'Assumptions'!$B$23</x:f>
        <x:v>86902.08940489982</x:v>
      </x:c>
      <x:c r="AK8" s="98" t="n">
        <x:f>'PnL_36M'!AK$14*'Assumptions'!$B$20*'Assumptions'!$B$23</x:f>
        <x:v>139554.6013661996</x:v>
      </x:c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80" t="str">
        <x:v>Комиссия Островок</x:v>
      </x:c>
      <x:c r="B9" s="98" t="n">
        <x:f>'PnL_36M'!B$14*'Assumptions'!$B$21*'Assumptions'!$B$24</x:f>
        <x:v>30225.007413216</x:v>
      </x:c>
      <x:c r="C9" s="98" t="n">
        <x:f>'PnL_36M'!C$14*'Assumptions'!$B$21*'Assumptions'!$B$24</x:f>
        <x:v>35520.67044036</x:v>
      </x:c>
      <x:c r="D9" s="98" t="n">
        <x:f>'PnL_36M'!D$14*'Assumptions'!$B$21*'Assumptions'!$B$24</x:f>
        <x:v>47745.383365511996</x:v>
      </x:c>
      <x:c r="E9" s="98" t="n">
        <x:f>'PnL_36M'!E$14*'Assumptions'!$B$21*'Assumptions'!$B$24</x:f>
        <x:v>56781.55498931999</x:v>
      </x:c>
      <x:c r="F9" s="98" t="n">
        <x:f>'PnL_36M'!F$14*'Assumptions'!$B$21*'Assumptions'!$B$24</x:f>
        <x:v>71655.33749144398</x:v>
      </x:c>
      <x:c r="G9" s="98" t="n">
        <x:f>'PnL_36M'!G$14*'Assumptions'!$B$21*'Assumptions'!$B$24</x:f>
        <x:v>93897.13378752001</x:v>
      </x:c>
      <x:c r="H9" s="98" t="n">
        <x:f>'PnL_36M'!H$14*'Assumptions'!$B$21*'Assumptions'!$B$24</x:f>
        <x:v>113368.78424591997</x:v>
      </x:c>
      <x:c r="I9" s="98" t="n">
        <x:f>'PnL_36M'!I$14*'Assumptions'!$B$21*'Assumptions'!$B$24</x:f>
        <x:v>103524.80133239998</x:v>
      </x:c>
      <x:c r="J9" s="98" t="n">
        <x:f>'PnL_36M'!J$14*'Assumptions'!$B$21*'Assumptions'!$B$24</x:f>
        <x:v>79296.89485535999</x:v>
      </x:c>
      <x:c r="K9" s="98" t="n">
        <x:f>'PnL_36M'!K$14*'Assumptions'!$B$21*'Assumptions'!$B$24</x:f>
        <x:v>69526.961130312</x:v>
      </x:c>
      <x:c r="L9" s="98" t="n">
        <x:f>'PnL_36M'!L$14*'Assumptions'!$B$21*'Assumptions'!$B$24</x:f>
        <x:v>56182.18248720001</x:v>
      </x:c>
      <x:c r="M9" s="98" t="n">
        <x:f>'PnL_36M'!M$14*'Assumptions'!$B$21*'Assumptions'!$B$24</x:f>
        <x:v>91985.18170438799</x:v>
      </x:c>
      <x:c r="N9" s="98" t="n">
        <x:f>'PnL_36M'!N$14*'Assumptions'!$B$21*'Assumptions'!$B$24</x:f>
        <x:v>53375.88773141857</x:v>
      </x:c>
      <x:c r="O9" s="98" t="n">
        <x:f>'PnL_36M'!O$14*'Assumptions'!$B$21*'Assumptions'!$B$24</x:f>
        <x:v>52685.111872612804</x:v>
      </x:c>
      <x:c r="P9" s="98" t="n">
        <x:f>'PnL_36M'!P$14*'Assumptions'!$B$21*'Assumptions'!$B$24</x:f>
        <x:v>65428.50102628141</x:v>
      </x:c>
      <x:c r="Q9" s="98" t="n">
        <x:f>'PnL_36M'!Q$14*'Assumptions'!$B$21*'Assumptions'!$B$24</x:f>
        <x:v>71243.7497375436</x:v>
      </x:c>
      <x:c r="R9" s="98" t="n">
        <x:f>'PnL_36M'!R$14*'Assumptions'!$B$21*'Assumptions'!$B$24</x:f>
        <x:v>83651.35548098196</x:v>
      </x:c>
      <x:c r="S9" s="98" t="n">
        <x:f>'PnL_36M'!S$14*'Assumptions'!$B$21*'Assumptions'!$B$24</x:f>
        <x:v>103285.33950510723</x:v>
      </x:c>
      <x:c r="T9" s="98" t="n">
        <x:f>'PnL_36M'!T$14*'Assumptions'!$B$21*'Assumptions'!$B$24</x:f>
        <x:v>124327.54374354718</x:v>
      </x:c>
      <x:c r="U9" s="98" t="n">
        <x:f>'PnL_36M'!U$14*'Assumptions'!$B$21*'Assumptions'!$B$24</x:f>
        <x:v>113754.36744045359</x:v>
      </x:c>
      <x:c r="V9" s="98" t="n">
        <x:f>'PnL_36M'!V$14*'Assumptions'!$B$21*'Assumptions'!$B$24</x:f>
        <x:v>87540.9164019936</x:v>
      </x:c>
      <x:c r="W9" s="98" t="n">
        <x:f>'PnL_36M'!W$14*'Assumptions'!$B$21*'Assumptions'!$B$24</x:f>
        <x:v>77093.16195980954</x:v>
      </x:c>
      <x:c r="X9" s="98" t="n">
        <x:f>'PnL_36M'!X$14*'Assumptions'!$B$21*'Assumptions'!$B$24</x:f>
        <x:v>62637.066539208</x:v>
      </x:c>
      <x:c r="Y9" s="98" t="n">
        <x:f>'PnL_36M'!Y$14*'Assumptions'!$B$21*'Assumptions'!$B$24</x:f>
        <x:v>101418.4548236891</x:v>
      </x:c>
      <x:c r="Z9" s="98" t="n">
        <x:f>'PnL_36M'!Z$14*'Assumptions'!$B$21*'Assumptions'!$B$24</x:f>
        <x:v>59163.31215711101</x:v>
      </x:c>
      <x:c r="AA9" s="98" t="n">
        <x:f>'PnL_36M'!AA$14*'Assumptions'!$B$21*'Assumptions'!$B$24</x:f>
        <x:v>58234.00279602327</x:v>
      </x:c>
      <x:c r="AB9" s="98" t="n">
        <x:f>'PnL_36M'!AB$14*'Assumptions'!$B$21*'Assumptions'!$B$24</x:f>
        <x:v>72085.94992931378</x:v>
      </x:c>
      <x:c r="AC9" s="98" t="n">
        <x:f>'PnL_36M'!AC$14*'Assumptions'!$B$21*'Assumptions'!$B$24</x:f>
        <x:v>78275.696965513</x:v>
      </x:c>
      <x:c r="AD9" s="98" t="n">
        <x:f>'PnL_36M'!AD$14*'Assumptions'!$B$21*'Assumptions'!$B$24</x:f>
        <x:v>91637.16393873339</x:v>
      </x:c>
      <x:c r="AE9" s="98" t="n">
        <x:f>'PnL_36M'!AE$14*'Assumptions'!$B$21*'Assumptions'!$B$24</x:f>
        <x:v>112666.17215681862</x:v>
      </x:c>
      <x:c r="AF9" s="98" t="n">
        <x:f>'PnL_36M'!AF$14*'Assumptions'!$B$21*'Assumptions'!$B$24</x:f>
        <x:v>135312.02067971547</x:v>
      </x:c>
      <x:c r="AG9" s="98" t="n">
        <x:f>'PnL_36M'!AG$14*'Assumptions'!$B$21*'Assumptions'!$B$24</x:f>
        <x:v>123986.95965471776</x:v>
      </x:c>
      <x:c r="AH9" s="98" t="n">
        <x:f>'PnL_36M'!AH$14*'Assumptions'!$B$21*'Assumptions'!$B$24</x:f>
        <x:v>95749.67564741781</x:v>
      </x:c>
      <x:c r="AI9" s="98" t="n">
        <x:f>'PnL_36M'!AI$14*'Assumptions'!$B$21*'Assumptions'!$B$24</x:f>
        <x:v>84597.35819850172</x:v>
      </x:c>
      <x:c r="AJ9" s="98" t="n">
        <x:f>'PnL_36M'!AJ$14*'Assumptions'!$B$21*'Assumptions'!$B$24</x:f>
        <x:v>69010.48276271454</x:v>
      </x:c>
      <x:c r="AK9" s="98" t="n">
        <x:f>'PnL_36M'!AK$14*'Assumptions'!$B$21*'Assumptions'!$B$24</x:f>
        <x:v>110822.7716731585</x:v>
      </x:c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80" t="str">
        <x:v>Комиссия Авито</x:v>
      </x:c>
      <x:c r="B10" s="98" t="n">
        <x:f>'PnL_36M'!B$14*'Assumptions'!$B$22*'Assumptions'!$B$25</x:f>
        <x:v>13433.336628096</x:v>
      </x:c>
      <x:c r="C10" s="98" t="n">
        <x:f>'PnL_36M'!C$14*'Assumptions'!$B$22*'Assumptions'!$B$25</x:f>
        <x:v>15786.964640159998</x:v>
      </x:c>
      <x:c r="D10" s="98" t="n">
        <x:f>'PnL_36M'!D$14*'Assumptions'!$B$22*'Assumptions'!$B$25</x:f>
        <x:v>21220.170384672</x:v>
      </x:c>
      <x:c r="E10" s="98" t="n">
        <x:f>'PnL_36M'!E$14*'Assumptions'!$B$22*'Assumptions'!$B$25</x:f>
        <x:v>25236.246661920002</x:v>
      </x:c>
      <x:c r="F10" s="98" t="n">
        <x:f>'PnL_36M'!F$14*'Assumptions'!$B$22*'Assumptions'!$B$25</x:f>
        <x:v>31846.816662863996</x:v>
      </x:c>
      <x:c r="G10" s="98" t="n">
        <x:f>'PnL_36M'!G$14*'Assumptions'!$B$22*'Assumptions'!$B$25</x:f>
        <x:v>41732.05946112001</x:v>
      </x:c>
      <x:c r="H10" s="98" t="n">
        <x:f>'PnL_36M'!H$14*'Assumptions'!$B$22*'Assumptions'!$B$25</x:f>
        <x:v>50386.12633152</x:v>
      </x:c>
      <x:c r="I10" s="98" t="n">
        <x:f>'PnL_36M'!I$14*'Assumptions'!$B$22*'Assumptions'!$B$25</x:f>
        <x:v>46011.0228144</x:v>
      </x:c>
      <x:c r="J10" s="98" t="n">
        <x:f>'PnL_36M'!J$14*'Assumptions'!$B$22*'Assumptions'!$B$25</x:f>
        <x:v>35243.06438016</x:v>
      </x:c>
      <x:c r="K10" s="98" t="n">
        <x:f>'PnL_36M'!K$14*'Assumptions'!$B$22*'Assumptions'!$B$25</x:f>
        <x:v>30900.871613472005</x:v>
      </x:c>
      <x:c r="L10" s="98" t="n">
        <x:f>'PnL_36M'!L$14*'Assumptions'!$B$22*'Assumptions'!$B$25</x:f>
        <x:v>24969.858883200002</x:v>
      </x:c>
      <x:c r="M10" s="98" t="n">
        <x:f>'PnL_36M'!M$14*'Assumptions'!$B$22*'Assumptions'!$B$25</x:f>
        <x:v>40882.302979728</x:v>
      </x:c>
      <x:c r="N10" s="98" t="n">
        <x:f>'PnL_36M'!N$14*'Assumptions'!$B$22*'Assumptions'!$B$25</x:f>
        <x:v>23722.616769519365</x:v>
      </x:c>
      <x:c r="O10" s="98" t="n">
        <x:f>'PnL_36M'!O$14*'Assumptions'!$B$22*'Assumptions'!$B$25</x:f>
        <x:v>23415.605276716804</x:v>
      </x:c>
      <x:c r="P10" s="98" t="n">
        <x:f>'PnL_36M'!P$14*'Assumptions'!$B$22*'Assumptions'!$B$25</x:f>
        <x:v>29079.333789458407</x:v>
      </x:c>
      <x:c r="Q10" s="98" t="n">
        <x:f>'PnL_36M'!Q$14*'Assumptions'!$B$22*'Assumptions'!$B$25</x:f>
        <x:v>31663.888772241608</x:v>
      </x:c>
      <x:c r="R10" s="98" t="n">
        <x:f>'PnL_36M'!R$14*'Assumptions'!$B$22*'Assumptions'!$B$25</x:f>
        <x:v>37178.380213769764</x:v>
      </x:c>
      <x:c r="S10" s="98" t="n">
        <x:f>'PnL_36M'!S$14*'Assumptions'!$B$22*'Assumptions'!$B$25</x:f>
        <x:v>45904.59533560322</x:v>
      </x:c>
      <x:c r="T10" s="98" t="n">
        <x:f>'PnL_36M'!T$14*'Assumptions'!$B$22*'Assumptions'!$B$25</x:f>
        <x:v>55256.6861082432</x:v>
      </x:c>
      <x:c r="U10" s="98" t="n">
        <x:f>'PnL_36M'!U$14*'Assumptions'!$B$22*'Assumptions'!$B$25</x:f>
        <x:v>50557.4966402016</x:v>
      </x:c>
      <x:c r="V10" s="98" t="n">
        <x:f>'PnL_36M'!V$14*'Assumptions'!$B$22*'Assumptions'!$B$25</x:f>
        <x:v>38907.0739564416</x:v>
      </x:c>
      <x:c r="W10" s="98" t="n">
        <x:f>'PnL_36M'!W$14*'Assumptions'!$B$22*'Assumptions'!$B$25</x:f>
        <x:v>34263.62753769313</x:v>
      </x:c>
      <x:c r="X10" s="98" t="n">
        <x:f>'PnL_36M'!X$14*'Assumptions'!$B$22*'Assumptions'!$B$25</x:f>
        <x:v>27838.696239648</x:v>
      </x:c>
      <x:c r="Y10" s="98" t="n">
        <x:f>'PnL_36M'!Y$14*'Assumptions'!$B$22*'Assumptions'!$B$25</x:f>
        <x:v>45074.86881052849</x:v>
      </x:c>
      <x:c r="Z10" s="98" t="n">
        <x:f>'PnL_36M'!Z$14*'Assumptions'!$B$22*'Assumptions'!$B$25</x:f>
        <x:v>26294.80540316045</x:v>
      </x:c>
      <x:c r="AA10" s="98" t="n">
        <x:f>'PnL_36M'!AA$14*'Assumptions'!$B$22*'Assumptions'!$B$25</x:f>
        <x:v>25881.779020454785</x:v>
      </x:c>
      <x:c r="AB10" s="98" t="n">
        <x:f>'PnL_36M'!AB$14*'Assumptions'!$B$22*'Assumptions'!$B$25</x:f>
        <x:v>32038.1999685839</x:v>
      </x:c>
      <x:c r="AC10" s="98" t="n">
        <x:f>'PnL_36M'!AC$14*'Assumptions'!$B$22*'Assumptions'!$B$25</x:f>
        <x:v>34789.19865133912</x:v>
      </x:c>
      <x:c r="AD10" s="98" t="n">
        <x:f>'PnL_36M'!AD$14*'Assumptions'!$B$22*'Assumptions'!$B$25</x:f>
        <x:v>40727.62841721484</x:v>
      </x:c>
      <x:c r="AE10" s="98" t="n">
        <x:f>'PnL_36M'!AE$14*'Assumptions'!$B$22*'Assumptions'!$B$25</x:f>
        <x:v>50073.854291919386</x:v>
      </x:c>
      <x:c r="AF10" s="98" t="n">
        <x:f>'PnL_36M'!AF$14*'Assumptions'!$B$22*'Assumptions'!$B$25</x:f>
        <x:v>60138.67585765133</x:v>
      </x:c>
      <x:c r="AG10" s="98" t="n">
        <x:f>'PnL_36M'!AG$14*'Assumptions'!$B$22*'Assumptions'!$B$25</x:f>
        <x:v>55105.315402096785</x:v>
      </x:c>
      <x:c r="AH10" s="98" t="n">
        <x:f>'PnL_36M'!AH$14*'Assumptions'!$B$22*'Assumptions'!$B$25</x:f>
        <x:v>42555.41139885236</x:v>
      </x:c>
      <x:c r="AI10" s="98" t="n">
        <x:f>'PnL_36M'!AI$14*'Assumptions'!$B$22*'Assumptions'!$B$25</x:f>
        <x:v>37598.82586600078</x:v>
      </x:c>
      <x:c r="AJ10" s="98" t="n">
        <x:f>'PnL_36M'!AJ$14*'Assumptions'!$B$22*'Assumptions'!$B$25</x:f>
        <x:v>30671.32567231758</x:v>
      </x:c>
      <x:c r="AK10" s="98" t="n">
        <x:f>'PnL_36M'!AK$14*'Assumptions'!$B$22*'Assumptions'!$B$25</x:f>
        <x:v>49254.56518807045</x:v>
      </x:c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80" t="str">
        <x:v>Эквайринг и касса</x:v>
      </x:c>
      <x:c r="B11" s="98" t="n">
        <x:f>('PnL_36M'!B$14*'Assumptions'!$B$19+SUM('PnL_36M'!B$15:'PnL_36M'!B$18))*'Assumptions'!$B$27</x:f>
        <x:v>22207.3589137568</x:v>
      </x:c>
      <x:c r="C11" s="98" t="n">
        <x:f>('PnL_36M'!C$14*'Assumptions'!$B$19+SUM('PnL_36M'!C$15:'PnL_36M'!C$18))*'Assumptions'!$B$27</x:f>
        <x:v>25856.490916508</x:v>
      </x:c>
      <x:c r="D11" s="98" t="n">
        <x:f>('PnL_36M'!D$14*'Assumptions'!$B$19+SUM('PnL_36M'!D$15:'PnL_36M'!D$18))*'Assumptions'!$B$27</x:f>
        <x:v>34308.4959631176</x:v>
      </x:c>
      <x:c r="E11" s="98" t="n">
        <x:f>('PnL_36M'!E$14*'Assumptions'!$B$19+SUM('PnL_36M'!E$15:'PnL_36M'!E$18))*'Assumptions'!$B$27</x:f>
        <x:v>40155.874162236</x:v>
      </x:c>
      <x:c r="F11" s="98" t="n">
        <x:f>('PnL_36M'!F$14*'Assumptions'!$B$19+SUM('PnL_36M'!F$15:'PnL_36M'!F$18))*'Assumptions'!$B$27</x:f>
        <x:v>49926.86648636119</x:v>
      </x:c>
      <x:c r="G11" s="98" t="n">
        <x:f>('PnL_36M'!G$14*'Assumptions'!$B$19+SUM('PnL_36M'!G$15:'PnL_36M'!G$18))*'Assumptions'!$B$27</x:f>
        <x:v>63115.821564096004</x:v>
      </x:c>
      <x:c r="H11" s="98" t="n">
        <x:f>('PnL_36M'!H$14*'Assumptions'!$B$19+SUM('PnL_36M'!H$15:'PnL_36M'!H$18))*'Assumptions'!$B$27</x:f>
        <x:v>74504.473033536</x:v>
      </x:c>
      <x:c r="I11" s="98" t="n">
        <x:f>('PnL_36M'!I$14*'Assumptions'!$B$19+SUM('PnL_36M'!I$15:'PnL_36M'!I$18))*'Assumptions'!$B$27</x:f>
        <x:v>68785.39862459998</x:v>
      </x:c>
      <x:c r="J11" s="98" t="n">
        <x:f>('PnL_36M'!J$14*'Assumptions'!$B$19+SUM('PnL_36M'!J$15:'PnL_36M'!J$18))*'Assumptions'!$B$27</x:f>
        <x:v>54674.750675328</x:v>
      </x:c>
      <x:c r="K11" s="98" t="n">
        <x:f>('PnL_36M'!K$14*'Assumptions'!$B$19+SUM('PnL_36M'!K$15:'PnL_36M'!K$18))*'Assumptions'!$B$27</x:f>
        <x:v>48973.0385615576</x:v>
      </x:c>
      <x:c r="L11" s="98" t="n">
        <x:f>('PnL_36M'!L$14*'Assumptions'!$B$19+SUM('PnL_36M'!L$15:'PnL_36M'!L$18))*'Assumptions'!$B$27</x:f>
        <x:v>40519.93343496</x:v>
      </x:c>
      <x:c r="M11" s="98" t="n">
        <x:f>('PnL_36M'!M$14*'Assumptions'!$B$19+SUM('PnL_36M'!M$15:'PnL_36M'!M$18))*'Assumptions'!$B$27</x:f>
        <x:v>61652.6719142124</x:v>
      </x:c>
      <x:c r="N11" s="98" t="n">
        <x:f>('PnL_36M'!N$14*'Assumptions'!$B$19+SUM('PnL_36M'!N$15:'PnL_36M'!N$18))*'Assumptions'!$B$27</x:f>
        <x:v>38302.74672565869</x:v>
      </x:c>
      <x:c r="O11" s="98" t="n">
        <x:f>('PnL_36M'!O$14*'Assumptions'!$B$19+SUM('PnL_36M'!O$15:'PnL_36M'!O$18))*'Assumptions'!$B$27</x:f>
        <x:v>37487.06135740944</x:v>
      </x:c>
      <x:c r="P11" s="98" t="n">
        <x:f>('PnL_36M'!P$14*'Assumptions'!$B$19+SUM('PnL_36M'!P$15:'PnL_36M'!P$18))*'Assumptions'!$B$27</x:f>
        <x:v>45992.24852181723</x:v>
      </x:c>
      <x:c r="Q11" s="98" t="n">
        <x:f>('PnL_36M'!Q$14*'Assumptions'!$B$19+SUM('PnL_36M'!Q$15:'PnL_36M'!Q$18))*'Assumptions'!$B$27</x:f>
        <x:v>49325.91449261028</x:v>
      </x:c>
      <x:c r="R11" s="98" t="n">
        <x:f>('PnL_36M'!R$14*'Assumptions'!$B$19+SUM('PnL_36M'!R$15:'PnL_36M'!R$18))*'Assumptions'!$B$27</x:f>
        <x:v>57100.68831530451</x:v>
      </x:c>
      <x:c r="S11" s="98" t="n">
        <x:f>('PnL_36M'!S$14*'Assumptions'!$B$19+SUM('PnL_36M'!S$15:'PnL_36M'!S$18))*'Assumptions'!$B$27</x:f>
        <x:v>68113.96225786657</x:v>
      </x:c>
      <x:c r="T11" s="98" t="n">
        <x:f>('PnL_36M'!T$14*'Assumptions'!$B$19+SUM('PnL_36M'!T$15:'PnL_36M'!T$18))*'Assumptions'!$B$27</x:f>
        <x:v>80232.81561829855</x:v>
      </x:c>
      <x:c r="U11" s="98" t="n">
        <x:f>('PnL_36M'!U$14*'Assumptions'!$B$19+SUM('PnL_36M'!U$15:'PnL_36M'!U$18))*'Assumptions'!$B$27</x:f>
        <x:v>74186.95454218327</x:v>
      </x:c>
      <x:c r="V11" s="98" t="n">
        <x:f>('PnL_36M'!V$14*'Assumptions'!$B$19+SUM('PnL_36M'!V$15:'PnL_36M'!V$18))*'Assumptions'!$B$27</x:f>
        <x:v>59160.12735174528</x:v>
      </x:c>
      <x:c r="W11" s="98" t="n">
        <x:f>('PnL_36M'!W$14*'Assumptions'!$B$19+SUM('PnL_36M'!W$15:'PnL_36M'!W$18))*'Assumptions'!$B$27</x:f>
        <x:v>53181.01226171391</x:v>
      </x:c>
      <x:c r="X11" s="98" t="n">
        <x:f>('PnL_36M'!X$14*'Assumptions'!$B$19+SUM('PnL_36M'!X$15:'PnL_36M'!X$18))*'Assumptions'!$B$27</x:f>
        <x:v>44203.5114563784</x:v>
      </x:c>
      <x:c r="Y11" s="98" t="n">
        <x:f>('PnL_36M'!Y$14*'Assumptions'!$B$19+SUM('PnL_36M'!Y$15:'PnL_36M'!Y$18))*'Assumptions'!$B$27</x:f>
        <x:v>66697.37060350289</x:v>
      </x:c>
      <x:c r="Z11" s="98" t="n">
        <x:f>('PnL_36M'!Z$14*'Assumptions'!$B$19+SUM('PnL_36M'!Z$15:'PnL_36M'!Z$18))*'Assumptions'!$B$27</x:f>
        <x:v>41550.12611250012</x:v>
      </x:c>
      <x:c r="AA11" s="98" t="n">
        <x:f>('PnL_36M'!AA$14*'Assumptions'!$B$19+SUM('PnL_36M'!AA$15:'PnL_36M'!AA$18))*'Assumptions'!$B$27</x:f>
        <x:v>40564.27570197191</x:v>
      </x:c>
      <x:c r="AB11" s="98" t="n">
        <x:f>('PnL_36M'!AB$14*'Assumptions'!$B$19+SUM('PnL_36M'!AB$15:'PnL_36M'!AB$18))*'Assumptions'!$B$27</x:f>
        <x:v>49629.527767022104</x:v>
      </x:c>
      <x:c r="AC11" s="98" t="n">
        <x:f>('PnL_36M'!AC$14*'Assumptions'!$B$19+SUM('PnL_36M'!AC$15:'PnL_36M'!AC$18))*'Assumptions'!$B$27</x:f>
        <x:v>53109.93557030027</x:v>
      </x:c>
      <x:c r="AD11" s="98" t="n">
        <x:f>('PnL_36M'!AD$14*'Assumptions'!$B$19+SUM('PnL_36M'!AD$15:'PnL_36M'!AD$18))*'Assumptions'!$B$27</x:f>
        <x:v>61333.26943503163</x:v>
      </x:c>
      <x:c r="AE11" s="98" t="n">
        <x:f>('PnL_36M'!AE$14*'Assumptions'!$B$19+SUM('PnL_36M'!AE$15:'PnL_36M'!AE$18))*'Assumptions'!$B$27</x:f>
        <x:v>72950.63198841871</x:v>
      </x:c>
      <x:c r="AF11" s="98" t="n">
        <x:f>('PnL_36M'!AF$14*'Assumptions'!$B$19+SUM('PnL_36M'!AF$15:'PnL_36M'!AF$18))*'Assumptions'!$B$27</x:f>
        <x:v>85809.24446353843</x:v>
      </x:c>
      <x:c r="AG11" s="98" t="n">
        <x:f>('PnL_36M'!AG$14*'Assumptions'!$B$19+SUM('PnL_36M'!AG$15:'PnL_36M'!AG$18))*'Assumptions'!$B$27</x:f>
        <x:v>79426.42764168092</x:v>
      </x:c>
      <x:c r="AH11" s="98" t="n">
        <x:f>('PnL_36M'!AH$14*'Assumptions'!$B$19+SUM('PnL_36M'!AH$15:'PnL_36M'!AH$18))*'Assumptions'!$B$27</x:f>
        <x:v>63471.53455577613</x:v>
      </x:c>
      <x:c r="AI11" s="98" t="n">
        <x:f>('PnL_36M'!AI$14*'Assumptions'!$B$19+SUM('PnL_36M'!AI$15:'PnL_36M'!AI$18))*'Assumptions'!$B$27</x:f>
        <x:v>57197.759757344116</x:v>
      </x:c>
      <x:c r="AJ11" s="98" t="n">
        <x:f>('PnL_36M'!AJ$14*'Assumptions'!$B$19+SUM('PnL_36M'!AJ$15:'PnL_36M'!AJ$18))*'Assumptions'!$B$27</x:f>
        <x:v>47692.413083920226</x:v>
      </x:c>
      <x:c r="AK11" s="98" t="n">
        <x:f>('PnL_36M'!AK$14*'Assumptions'!$B$19+SUM('PnL_36M'!AK$15:'PnL_36M'!AK$18))*'Assumptions'!$B$27</x:f>
        <x:v>71565.65363211103</x:v>
      </x:c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80" t="str">
        <x:v>Performance marketing / CPS</x:v>
      </x:c>
      <x:c r="B12" s="98" t="n">
        <x:f>'PnL_36M'!B$14*'Assumptions'!$B$26*55%</x:f>
        <x:v>32016.118963628804</x:v>
      </x:c>
      <x:c r="C12" s="98" t="n">
        <x:f>'PnL_36M'!C$14*'Assumptions'!$B$26*55%</x:f>
        <x:v>37625.599059048</x:v>
      </x:c>
      <x:c r="D12" s="98" t="n">
        <x:f>'PnL_36M'!D$14*'Assumptions'!$B$26*55%</x:f>
        <x:v>50574.7394168016</x:v>
      </x:c>
      <x:c r="E12" s="98" t="n">
        <x:f>'PnL_36M'!E$14*'Assumptions'!$B$26*55%</x:f>
        <x:v>60146.387877576</x:v>
      </x:c>
      <x:c r="F12" s="98" t="n">
        <x:f>'PnL_36M'!F$14*'Assumptions'!$B$26*55%</x:f>
        <x:v>75901.5797131592</x:v>
      </x:c>
      <x:c r="G12" s="98" t="n">
        <x:f>'PnL_36M'!G$14*'Assumptions'!$B$26*55%</x:f>
        <x:v>99461.40838233601</x:v>
      </x:c>
      <x:c r="H12" s="98" t="n">
        <x:f>'PnL_36M'!H$14*'Assumptions'!$B$26*55%</x:f>
        <x:v>120086.93442345598</x:v>
      </x:c>
      <x:c r="I12" s="98" t="n">
        <x:f>'PnL_36M'!I$14*'Assumptions'!$B$26*55%</x:f>
        <x:v>109659.60437432</x:v>
      </x:c>
      <x:c r="J12" s="98" t="n">
        <x:f>'PnL_36M'!J$14*'Assumptions'!$B$26*55%</x:f>
        <x:v>83995.970106048</x:v>
      </x:c>
      <x:c r="K12" s="98" t="n">
        <x:f>'PnL_36M'!K$14*'Assumptions'!$B$26*55%</x:f>
        <x:v>73647.07734544162</x:v>
      </x:c>
      <x:c r="L12" s="98" t="n">
        <x:f>'PnL_36M'!L$14*'Assumptions'!$B$26*55%</x:f>
        <x:v>59511.49700496001</x:v>
      </x:c>
      <x:c r="M12" s="98" t="n">
        <x:f>'PnL_36M'!M$14*'Assumptions'!$B$26*55%</x:f>
        <x:v>97436.1554350184</x:v>
      </x:c>
      <x:c r="N12" s="98" t="n">
        <x:f>'PnL_36M'!N$14*'Assumptions'!$B$26*55%</x:f>
        <x:v>56538.903300687816</x:v>
      </x:c>
      <x:c r="O12" s="98" t="n">
        <x:f>'PnL_36M'!O$14*'Assumptions'!$B$26*55%</x:f>
        <x:v>55807.192576175046</x:v>
      </x:c>
      <x:c r="P12" s="98" t="n">
        <x:f>'PnL_36M'!P$14*'Assumptions'!$B$26*55%</x:f>
        <x:v>69305.74553154253</x:v>
      </x:c>
      <x:c r="Q12" s="98" t="n">
        <x:f>'PnL_36M'!Q$14*'Assumptions'!$B$26*55%</x:f>
        <x:v>75465.6015738425</x:v>
      </x:c>
      <x:c r="R12" s="98" t="n">
        <x:f>'PnL_36M'!R$14*'Assumptions'!$B$26*55%</x:f>
        <x:v>88608.47284281794</x:v>
      </x:c>
      <x:c r="S12" s="98" t="n">
        <x:f>'PnL_36M'!S$14*'Assumptions'!$B$26*55%</x:f>
        <x:v>109405.952216521</x:v>
      </x:c>
      <x:c r="T12" s="98" t="n">
        <x:f>'PnL_36M'!T$14*'Assumptions'!$B$26*55%</x:f>
        <x:v>131695.10189131295</x:v>
      </x:c>
      <x:c r="U12" s="98" t="n">
        <x:f>'PnL_36M'!U$14*'Assumptions'!$B$26*55%</x:f>
        <x:v>120495.36699248047</x:v>
      </x:c>
      <x:c r="V12" s="98" t="n">
        <x:f>'PnL_36M'!V$14*'Assumptions'!$B$26*55%</x:f>
        <x:v>92728.5262628525</x:v>
      </x:c>
      <x:c r="W12" s="98" t="n">
        <x:f>'PnL_36M'!W$14*'Assumptions'!$B$26*55%</x:f>
        <x:v>81661.64563150198</x:v>
      </x:c>
      <x:c r="X12" s="98" t="n">
        <x:f>'PnL_36M'!X$14*'Assumptions'!$B$26*55%</x:f>
        <x:v>66348.89270449441</x:v>
      </x:c>
      <x:c r="Y12" s="98" t="n">
        <x:f>'PnL_36M'!Y$14*'Assumptions'!$B$26*55%</x:f>
        <x:v>107428.43733175957</x:v>
      </x:c>
      <x:c r="Z12" s="98" t="n">
        <x:f>'PnL_36M'!Z$14*'Assumptions'!$B$26*55%</x:f>
        <x:v>62669.28621086574</x:v>
      </x:c>
      <x:c r="AA12" s="98" t="n">
        <x:f>'PnL_36M'!AA$14*'Assumptions'!$B$26*55%</x:f>
        <x:v>61684.90666541725</x:v>
      </x:c>
      <x:c r="AB12" s="98" t="n">
        <x:f>'PnL_36M'!AB$14*'Assumptions'!$B$26*55%</x:f>
        <x:v>76357.70992512496</x:v>
      </x:c>
      <x:c r="AC12" s="98" t="n">
        <x:f>'PnL_36M'!AC$14*'Assumptions'!$B$26*55%</x:f>
        <x:v>82914.25678569156</x:v>
      </x:c>
      <x:c r="AD12" s="98" t="n">
        <x:f>'PnL_36M'!AD$14*'Assumptions'!$B$26*55%</x:f>
        <x:v>97067.51439436205</x:v>
      </x:c>
      <x:c r="AE12" s="98" t="n">
        <x:f>'PnL_36M'!AE$14*'Assumptions'!$B$26*55%</x:f>
        <x:v>119342.68606240787</x:v>
      </x:c>
      <x:c r="AF12" s="98" t="n">
        <x:f>'PnL_36M'!AF$14*'Assumptions'!$B$26*55%</x:f>
        <x:v>143330.510794069</x:v>
      </x:c>
      <x:c r="AG12" s="98" t="n">
        <x:f>'PnL_36M'!AG$14*'Assumptions'!$B$26*55%</x:f>
        <x:v>131334.33504166402</x:v>
      </x:c>
      <x:c r="AH12" s="98" t="n">
        <x:f>'PnL_36M'!AH$14*'Assumptions'!$B$26*55%</x:f>
        <x:v>101423.73050059813</x:v>
      </x:c>
      <x:c r="AI12" s="98" t="n">
        <x:f>'PnL_36M'!AI$14*'Assumptions'!$B$26*55%</x:f>
        <x:v>89610.53498063517</x:v>
      </x:c>
      <x:c r="AJ12" s="98" t="n">
        <x:f>'PnL_36M'!AJ$14*'Assumptions'!$B$26*55%</x:f>
        <x:v>73099.9928523569</x:v>
      </x:c>
      <x:c r="AK12" s="98" t="n">
        <x:f>'PnL_36M'!AK$14*'Assumptions'!$B$26*55%</x:f>
        <x:v>117390.0470315679</x:v>
      </x:c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>
      <x:c r="A13" s="80" t="str">
        <x:v>Контент и SMM</x:v>
      </x:c>
      <x:c r="B13" s="98" t="n">
        <x:f>'PnL_36M'!B$14*'Assumptions'!$B$26*20%</x:f>
        <x:v>11642.2250776832</x:v>
      </x:c>
      <x:c r="C13" s="98" t="n">
        <x:f>'PnL_36M'!C$14*'Assumptions'!$B$26*20%</x:f>
        <x:v>13682.036021471999</x:v>
      </x:c>
      <x:c r="D13" s="98" t="n">
        <x:f>'PnL_36M'!D$14*'Assumptions'!$B$26*20%</x:f>
        <x:v>18390.8143333824</x:v>
      </x:c>
      <x:c r="E13" s="98" t="n">
        <x:f>'PnL_36M'!E$14*'Assumptions'!$B$26*20%</x:f>
        <x:v>21871.413773664</x:v>
      </x:c>
      <x:c r="F13" s="98" t="n">
        <x:f>'PnL_36M'!F$14*'Assumptions'!$B$26*20%</x:f>
        <x:v>27600.574441148798</x:v>
      </x:c>
      <x:c r="G13" s="98" t="n">
        <x:f>'PnL_36M'!G$14*'Assumptions'!$B$26*20%</x:f>
        <x:v>36167.784866304006</x:v>
      </x:c>
      <x:c r="H13" s="98" t="n">
        <x:f>'PnL_36M'!H$14*'Assumptions'!$B$26*20%</x:f>
        <x:v>43667.976153984</x:v>
      </x:c>
      <x:c r="I13" s="98" t="n">
        <x:f>'PnL_36M'!I$14*'Assumptions'!$B$26*20%</x:f>
        <x:v>39876.21977248</x:v>
      </x:c>
      <x:c r="J13" s="98" t="n">
        <x:f>'PnL_36M'!J$14*'Assumptions'!$B$26*20%</x:f>
        <x:v>30543.989129472</x:v>
      </x:c>
      <x:c r="K13" s="98" t="n">
        <x:f>'PnL_36M'!K$14*'Assumptions'!$B$26*20%</x:f>
        <x:v>26780.755398342404</x:v>
      </x:c>
      <x:c r="L13" s="98" t="n">
        <x:f>'PnL_36M'!L$14*'Assumptions'!$B$26*20%</x:f>
        <x:v>21640.54436544</x:v>
      </x:c>
      <x:c r="M13" s="98" t="n">
        <x:f>'PnL_36M'!M$14*'Assumptions'!$B$26*20%</x:f>
        <x:v>35431.3292490976</x:v>
      </x:c>
      <x:c r="N13" s="98" t="n">
        <x:f>'PnL_36M'!N$14*'Assumptions'!$B$26*20%</x:f>
        <x:v>20559.601200250116</x:v>
      </x:c>
      <x:c r="O13" s="98" t="n">
        <x:f>'PnL_36M'!O$14*'Assumptions'!$B$26*20%</x:f>
        <x:v>20293.524573154562</x:v>
      </x:c>
      <x:c r="P13" s="98" t="n">
        <x:f>'PnL_36M'!P$14*'Assumptions'!$B$26*20%</x:f>
        <x:v>25202.089284197285</x:v>
      </x:c>
      <x:c r="Q13" s="98" t="n">
        <x:f>'PnL_36M'!Q$14*'Assumptions'!$B$26*20%</x:f>
        <x:v>27442.036935942728</x:v>
      </x:c>
      <x:c r="R13" s="98" t="n">
        <x:f>'PnL_36M'!R$14*'Assumptions'!$B$26*20%</x:f>
        <x:v>32221.262851933792</x:v>
      </x:c>
      <x:c r="S13" s="98" t="n">
        <x:f>'PnL_36M'!S$14*'Assumptions'!$B$26*20%</x:f>
        <x:v>39783.982624189455</x:v>
      </x:c>
      <x:c r="T13" s="98" t="n">
        <x:f>'PnL_36M'!T$14*'Assumptions'!$B$26*20%</x:f>
        <x:v>47889.12796047744</x:v>
      </x:c>
      <x:c r="U13" s="98" t="n">
        <x:f>'PnL_36M'!U$14*'Assumptions'!$B$26*20%</x:f>
        <x:v>43816.497088174714</x:v>
      </x:c>
      <x:c r="V13" s="98" t="n">
        <x:f>'PnL_36M'!V$14*'Assumptions'!$B$26*20%</x:f>
        <x:v>33719.46409558272</x:v>
      </x:c>
      <x:c r="W13" s="98" t="n">
        <x:f>'PnL_36M'!W$14*'Assumptions'!$B$26*20%</x:f>
        <x:v>29695.143866000715</x:v>
      </x:c>
      <x:c r="X13" s="98" t="n">
        <x:f>'PnL_36M'!X$14*'Assumptions'!$B$26*20%</x:f>
        <x:v>24126.870074361603</x:v>
      </x:c>
      <x:c r="Y13" s="98" t="n">
        <x:f>'PnL_36M'!Y$14*'Assumptions'!$B$26*20%</x:f>
        <x:v>39064.88630245803</x:v>
      </x:c>
      <x:c r="Z13" s="98" t="n">
        <x:f>'PnL_36M'!Z$14*'Assumptions'!$B$26*20%</x:f>
        <x:v>22788.831349405722</x:v>
      </x:c>
      <x:c r="AA13" s="98" t="n">
        <x:f>'PnL_36M'!AA$14*'Assumptions'!$B$26*20%</x:f>
        <x:v>22430.875151060816</x:v>
      </x:c>
      <x:c r="AB13" s="98" t="n">
        <x:f>'PnL_36M'!AB$14*'Assumptions'!$B$26*20%</x:f>
        <x:v>27766.439972772714</x:v>
      </x:c>
      <x:c r="AC13" s="98" t="n">
        <x:f>'PnL_36M'!AC$14*'Assumptions'!$B$26*20%</x:f>
        <x:v>30150.638831160562</x:v>
      </x:c>
      <x:c r="AD13" s="98" t="n">
        <x:f>'PnL_36M'!AD$14*'Assumptions'!$B$26*20%</x:f>
        <x:v>35297.277961586195</x:v>
      </x:c>
      <x:c r="AE13" s="98" t="n">
        <x:f>'PnL_36M'!AE$14*'Assumptions'!$B$26*20%</x:f>
        <x:v>43397.340386330136</x:v>
      </x:c>
      <x:c r="AF13" s="98" t="n">
        <x:f>'PnL_36M'!AF$14*'Assumptions'!$B$26*20%</x:f>
        <x:v>52120.18574329782</x:v>
      </x:c>
      <x:c r="AG13" s="98" t="n">
        <x:f>'PnL_36M'!AG$14*'Assumptions'!$B$26*20%</x:f>
        <x:v>47757.940015150554</x:v>
      </x:c>
      <x:c r="AH13" s="98" t="n">
        <x:f>'PnL_36M'!AH$14*'Assumptions'!$B$26*20%</x:f>
        <x:v>36881.356545672046</x:v>
      </x:c>
      <x:c r="AI13" s="98" t="n">
        <x:f>'PnL_36M'!AI$14*'Assumptions'!$B$26*20%</x:f>
        <x:v>32585.649083867334</x:v>
      </x:c>
      <x:c r="AJ13" s="98" t="n">
        <x:f>'PnL_36M'!AJ$14*'Assumptions'!$B$26*20%</x:f>
        <x:v>26581.815582675234</x:v>
      </x:c>
      <x:c r="AK13" s="98" t="n">
        <x:f>'PnL_36M'!AK$14*'Assumptions'!$B$26*20%</x:f>
        <x:v>42687.28982966105</x:v>
      </x:c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>
      <x:c r="A14" s="80" t="str">
        <x:v>CRM / retention</x:v>
      </x:c>
      <x:c r="B14" s="98" t="n">
        <x:f>'PnL_36M'!B$14*'Assumptions'!$B$26*10%</x:f>
        <x:v>5821.1125388416</x:v>
      </x:c>
      <x:c r="C14" s="98" t="n">
        <x:f>'PnL_36M'!C$14*'Assumptions'!$B$26*10%</x:f>
        <x:v>6841.018010735999</x:v>
      </x:c>
      <x:c r="D14" s="98" t="n">
        <x:f>'PnL_36M'!D$14*'Assumptions'!$B$26*10%</x:f>
        <x:v>9195.4071666912</x:v>
      </x:c>
      <x:c r="E14" s="98" t="n">
        <x:f>'PnL_36M'!E$14*'Assumptions'!$B$26*10%</x:f>
        <x:v>10935.706886832</x:v>
      </x:c>
      <x:c r="F14" s="98" t="n">
        <x:f>'PnL_36M'!F$14*'Assumptions'!$B$26*10%</x:f>
        <x:v>13800.287220574399</x:v>
      </x:c>
      <x:c r="G14" s="98" t="n">
        <x:f>'PnL_36M'!G$14*'Assumptions'!$B$26*10%</x:f>
        <x:v>18083.892433152003</x:v>
      </x:c>
      <x:c r="H14" s="98" t="n">
        <x:f>'PnL_36M'!H$14*'Assumptions'!$B$26*10%</x:f>
        <x:v>21833.988076992</x:v>
      </x:c>
      <x:c r="I14" s="98" t="n">
        <x:f>'PnL_36M'!I$14*'Assumptions'!$B$26*10%</x:f>
        <x:v>19938.10988624</x:v>
      </x:c>
      <x:c r="J14" s="98" t="n">
        <x:f>'PnL_36M'!J$14*'Assumptions'!$B$26*10%</x:f>
        <x:v>15271.994564736</x:v>
      </x:c>
      <x:c r="K14" s="98" t="n">
        <x:f>'PnL_36M'!K$14*'Assumptions'!$B$26*10%</x:f>
        <x:v>13390.377699171202</x:v>
      </x:c>
      <x:c r="L14" s="98" t="n">
        <x:f>'PnL_36M'!L$14*'Assumptions'!$B$26*10%</x:f>
        <x:v>10820.27218272</x:v>
      </x:c>
      <x:c r="M14" s="98" t="n">
        <x:f>'PnL_36M'!M$14*'Assumptions'!$B$26*10%</x:f>
        <x:v>17715.6646245488</x:v>
      </x:c>
      <x:c r="N14" s="98" t="n">
        <x:f>'PnL_36M'!N$14*'Assumptions'!$B$26*10%</x:f>
        <x:v>10279.800600125058</x:v>
      </x:c>
      <x:c r="O14" s="98" t="n">
        <x:f>'PnL_36M'!O$14*'Assumptions'!$B$26*10%</x:f>
        <x:v>10146.762286577281</x:v>
      </x:c>
      <x:c r="P14" s="98" t="n">
        <x:f>'PnL_36M'!P$14*'Assumptions'!$B$26*10%</x:f>
        <x:v>12601.044642098643</x:v>
      </x:c>
      <x:c r="Q14" s="98" t="n">
        <x:f>'PnL_36M'!Q$14*'Assumptions'!$B$26*10%</x:f>
        <x:v>13721.018467971364</x:v>
      </x:c>
      <x:c r="R14" s="98" t="n">
        <x:f>'PnL_36M'!R$14*'Assumptions'!$B$26*10%</x:f>
        <x:v>16110.631425966896</x:v>
      </x:c>
      <x:c r="S14" s="98" t="n">
        <x:f>'PnL_36M'!S$14*'Assumptions'!$B$26*10%</x:f>
        <x:v>19891.991312094728</x:v>
      </x:c>
      <x:c r="T14" s="98" t="n">
        <x:f>'PnL_36M'!T$14*'Assumptions'!$B$26*10%</x:f>
        <x:v>23944.56398023872</x:v>
      </x:c>
      <x:c r="U14" s="98" t="n">
        <x:f>'PnL_36M'!U$14*'Assumptions'!$B$26*10%</x:f>
        <x:v>21908.248544087357</x:v>
      </x:c>
      <x:c r="V14" s="98" t="n">
        <x:f>'PnL_36M'!V$14*'Assumptions'!$B$26*10%</x:f>
        <x:v>16859.73204779136</x:v>
      </x:c>
      <x:c r="W14" s="98" t="n">
        <x:f>'PnL_36M'!W$14*'Assumptions'!$B$26*10%</x:f>
        <x:v>14847.571933000358</x:v>
      </x:c>
      <x:c r="X14" s="98" t="n">
        <x:f>'PnL_36M'!X$14*'Assumptions'!$B$26*10%</x:f>
        <x:v>12063.435037180801</x:v>
      </x:c>
      <x:c r="Y14" s="98" t="n">
        <x:f>'PnL_36M'!Y$14*'Assumptions'!$B$26*10%</x:f>
        <x:v>19532.443151229014</x:v>
      </x:c>
      <x:c r="Z14" s="98" t="n">
        <x:f>'PnL_36M'!Z$14*'Assumptions'!$B$26*10%</x:f>
        <x:v>11394.415674702861</x:v>
      </x:c>
      <x:c r="AA14" s="98" t="n">
        <x:f>'PnL_36M'!AA$14*'Assumptions'!$B$26*10%</x:f>
        <x:v>11215.437575530408</x:v>
      </x:c>
      <x:c r="AB14" s="98" t="n">
        <x:f>'PnL_36M'!AB$14*'Assumptions'!$B$26*10%</x:f>
        <x:v>13883.219986386357</x:v>
      </x:c>
      <x:c r="AC14" s="98" t="n">
        <x:f>'PnL_36M'!AC$14*'Assumptions'!$B$26*10%</x:f>
        <x:v>15075.319415580281</x:v>
      </x:c>
      <x:c r="AD14" s="98" t="n">
        <x:f>'PnL_36M'!AD$14*'Assumptions'!$B$26*10%</x:f>
        <x:v>17648.638980793097</x:v>
      </x:c>
      <x:c r="AE14" s="98" t="n">
        <x:f>'PnL_36M'!AE$14*'Assumptions'!$B$26*10%</x:f>
        <x:v>21698.670193165068</x:v>
      </x:c>
      <x:c r="AF14" s="98" t="n">
        <x:f>'PnL_36M'!AF$14*'Assumptions'!$B$26*10%</x:f>
        <x:v>26060.09287164891</x:v>
      </x:c>
      <x:c r="AG14" s="98" t="n">
        <x:f>'PnL_36M'!AG$14*'Assumptions'!$B$26*10%</x:f>
        <x:v>23878.970007575277</x:v>
      </x:c>
      <x:c r="AH14" s="98" t="n">
        <x:f>'PnL_36M'!AH$14*'Assumptions'!$B$26*10%</x:f>
        <x:v>18440.678272836023</x:v>
      </x:c>
      <x:c r="AI14" s="98" t="n">
        <x:f>'PnL_36M'!AI$14*'Assumptions'!$B$26*10%</x:f>
        <x:v>16292.824541933667</x:v>
      </x:c>
      <x:c r="AJ14" s="98" t="n">
        <x:f>'PnL_36M'!AJ$14*'Assumptions'!$B$26*10%</x:f>
        <x:v>13290.907791337617</x:v>
      </x:c>
      <x:c r="AK14" s="98" t="n">
        <x:f>'PnL_36M'!AK$14*'Assumptions'!$B$26*10%</x:f>
        <x:v>21343.644914830526</x:v>
      </x:c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  <x:row r="15">
      <x:c r="A15" s="80" t="str">
        <x:v>Партнёрства и B2B</x:v>
      </x:c>
      <x:c r="B15" s="98" t="n">
        <x:f>'PnL_36M'!B$14*'Assumptions'!$B$26*15%</x:f>
        <x:v>8731.6688082624</x:v>
      </x:c>
      <x:c r="C15" s="98" t="n">
        <x:f>'PnL_36M'!C$14*'Assumptions'!$B$26*15%</x:f>
        <x:v>10261.527016103999</x:v>
      </x:c>
      <x:c r="D15" s="98" t="n">
        <x:f>'PnL_36M'!D$14*'Assumptions'!$B$26*15%</x:f>
        <x:v>13793.1107500368</x:v>
      </x:c>
      <x:c r="E15" s="98" t="n">
        <x:f>'PnL_36M'!E$14*'Assumptions'!$B$26*15%</x:f>
        <x:v>16403.560330247998</x:v>
      </x:c>
      <x:c r="F15" s="98" t="n">
        <x:f>'PnL_36M'!F$14*'Assumptions'!$B$26*15%</x:f>
        <x:v>20700.430830861595</x:v>
      </x:c>
      <x:c r="G15" s="98" t="n">
        <x:f>'PnL_36M'!G$14*'Assumptions'!$B$26*15%</x:f>
        <x:v>27125.838649728</x:v>
      </x:c>
      <x:c r="H15" s="98" t="n">
        <x:f>'PnL_36M'!H$14*'Assumptions'!$B$26*15%</x:f>
        <x:v>32750.98211548799</x:v>
      </x:c>
      <x:c r="I15" s="98" t="n">
        <x:f>'PnL_36M'!I$14*'Assumptions'!$B$26*15%</x:f>
        <x:v>29907.164829359997</x:v>
      </x:c>
      <x:c r="J15" s="98" t="n">
        <x:f>'PnL_36M'!J$14*'Assumptions'!$B$26*15%</x:f>
        <x:v>22907.991847104</x:v>
      </x:c>
      <x:c r="K15" s="98" t="n">
        <x:f>'PnL_36M'!K$14*'Assumptions'!$B$26*15%</x:f>
        <x:v>20085.5665487568</x:v>
      </x:c>
      <x:c r="L15" s="98" t="n">
        <x:f>'PnL_36M'!L$14*'Assumptions'!$B$26*15%</x:f>
        <x:v>16230.40827408</x:v>
      </x:c>
      <x:c r="M15" s="98" t="n">
        <x:f>'PnL_36M'!M$14*'Assumptions'!$B$26*15%</x:f>
        <x:v>26573.496936823198</x:v>
      </x:c>
      <x:c r="N15" s="98" t="n">
        <x:f>'PnL_36M'!N$14*'Assumptions'!$B$26*15%</x:f>
        <x:v>15419.700900187585</x:v>
      </x:c>
      <x:c r="O15" s="98" t="n">
        <x:f>'PnL_36M'!O$14*'Assumptions'!$B$26*15%</x:f>
        <x:v>15220.14342986592</x:v>
      </x:c>
      <x:c r="P15" s="98" t="n">
        <x:f>'PnL_36M'!P$14*'Assumptions'!$B$26*15%</x:f>
        <x:v>18901.56696314796</x:v>
      </x:c>
      <x:c r="Q15" s="98" t="n">
        <x:f>'PnL_36M'!Q$14*'Assumptions'!$B$26*15%</x:f>
        <x:v>20581.527701957042</x:v>
      </x:c>
      <x:c r="R15" s="98" t="n">
        <x:f>'PnL_36M'!R$14*'Assumptions'!$B$26*15%</x:f>
        <x:v>24165.94713895034</x:v>
      </x:c>
      <x:c r="S15" s="98" t="n">
        <x:f>'PnL_36M'!S$14*'Assumptions'!$B$26*15%</x:f>
        <x:v>29837.986968142086</x:v>
      </x:c>
      <x:c r="T15" s="98" t="n">
        <x:f>'PnL_36M'!T$14*'Assumptions'!$B$26*15%</x:f>
        <x:v>35916.845970358074</x:v>
      </x:c>
      <x:c r="U15" s="98" t="n">
        <x:f>'PnL_36M'!U$14*'Assumptions'!$B$26*15%</x:f>
        <x:v>32862.372816131036</x:v>
      </x:c>
      <x:c r="V15" s="98" t="n">
        <x:f>'PnL_36M'!V$14*'Assumptions'!$B$26*15%</x:f>
        <x:v>25289.59807168704</x:v>
      </x:c>
      <x:c r="W15" s="98" t="n">
        <x:f>'PnL_36M'!W$14*'Assumptions'!$B$26*15%</x:f>
        <x:v>22271.357899500534</x:v>
      </x:c>
      <x:c r="X15" s="98" t="n">
        <x:f>'PnL_36M'!X$14*'Assumptions'!$B$26*15%</x:f>
        <x:v>18095.1525557712</x:v>
      </x:c>
      <x:c r="Y15" s="98" t="n">
        <x:f>'PnL_36M'!Y$14*'Assumptions'!$B$26*15%</x:f>
        <x:v>29298.664726843515</x:v>
      </x:c>
      <x:c r="Z15" s="98" t="n">
        <x:f>'PnL_36M'!Z$14*'Assumptions'!$B$26*15%</x:f>
        <x:v>17091.62351205429</x:v>
      </x:c>
      <x:c r="AA15" s="98" t="n">
        <x:f>'PnL_36M'!AA$14*'Assumptions'!$B$26*15%</x:f>
        <x:v>16823.15636329561</x:v>
      </x:c>
      <x:c r="AB15" s="98" t="n">
        <x:f>'PnL_36M'!AB$14*'Assumptions'!$B$26*15%</x:f>
        <x:v>20824.829979579532</x:v>
      </x:c>
      <x:c r="AC15" s="98" t="n">
        <x:f>'PnL_36M'!AC$14*'Assumptions'!$B$26*15%</x:f>
        <x:v>22612.97912337042</x:v>
      </x:c>
      <x:c r="AD15" s="98" t="n">
        <x:f>'PnL_36M'!AD$14*'Assumptions'!$B$26*15%</x:f>
        <x:v>26472.958471189646</x:v>
      </x:c>
      <x:c r="AE15" s="98" t="n">
        <x:f>'PnL_36M'!AE$14*'Assumptions'!$B$26*15%</x:f>
        <x:v>32548.005289747598</x:v>
      </x:c>
      <x:c r="AF15" s="98" t="n">
        <x:f>'PnL_36M'!AF$14*'Assumptions'!$B$26*15%</x:f>
        <x:v>39090.139307473364</x:v>
      </x:c>
      <x:c r="AG15" s="98" t="n">
        <x:f>'PnL_36M'!AG$14*'Assumptions'!$B$26*15%</x:f>
        <x:v>35818.45501136291</x:v>
      </x:c>
      <x:c r="AH15" s="98" t="n">
        <x:f>'PnL_36M'!AH$14*'Assumptions'!$B$26*15%</x:f>
        <x:v>27661.017409254036</x:v>
      </x:c>
      <x:c r="AI15" s="98" t="n">
        <x:f>'PnL_36M'!AI$14*'Assumptions'!$B$26*15%</x:f>
        <x:v>24439.236812900497</x:v>
      </x:c>
      <x:c r="AJ15" s="98" t="n">
        <x:f>'PnL_36M'!AJ$14*'Assumptions'!$B$26*15%</x:f>
        <x:v>19936.36168700642</x:v>
      </x:c>
      <x:c r="AK15" s="98" t="n">
        <x:f>'PnL_36M'!AK$14*'Assumptions'!$B$26*15%</x:f>
        <x:v>32015.46737224579</x:v>
      </x:c>
      <x:c r="AL15" s="80"/>
      <x:c r="AM15" s="80"/>
      <x:c r="AN15" s="80"/>
      <x:c r="AO15" s="80"/>
      <x:c r="AP15" s="80"/>
      <x:c r="AQ15" s="80"/>
      <x:c r="AR15" s="80"/>
      <x:c r="AS15" s="80"/>
      <x:c r="AT15" s="80"/>
      <x:c r="AU15" s="80"/>
      <x:c r="AV15" s="80"/>
      <x:c r="AW15" s="80"/>
      <x:c r="AX15" s="80"/>
      <x:c r="AY15" s="80"/>
      <x:c r="AZ15" s="80"/>
    </x:row>
    <x:row r="16">
      <x:c r="A16" s="80" t="str">
        <x:v>Переменные смены клининга</x:v>
      </x:c>
      <x:c r="B16" s="98" t="n">
        <x:f>'PnL_36M'!B$10*'Assumptions'!$H$38*(1+'Assumptions'!$B$8)^0</x:f>
        <x:v>77514.57</x:v>
      </x:c>
      <x:c r="C16" s="98" t="n">
        <x:f>'PnL_36M'!C$10*'Assumptions'!$H$38*(1+'Assumptions'!$B$8)^0</x:f>
        <x:v>88627.76999999999</x:v>
      </x:c>
      <x:c r="D16" s="98" t="n">
        <x:f>'PnL_36M'!D$10*'Assumptions'!$H$38*(1+'Assumptions'!$B$8)^0</x:f>
        <x:v>114836.4</x:v>
      </x:c>
      <x:c r="E16" s="98" t="n">
        <x:f>'PnL_36M'!E$10*'Assumptions'!$H$38*(1+'Assumptions'!$B$8)^0</x:f>
        <x:v>130580.1</x:v>
      </x:c>
      <x:c r="F16" s="98" t="n">
        <x:f>'PnL_36M'!F$10*'Assumptions'!$H$38*(1+'Assumptions'!$B$8)^0</x:f>
        <x:v>157900.04999999996</x:v>
      </x:c>
      <x:c r="G16" s="98" t="n">
        <x:f>'PnL_36M'!G$10*'Assumptions'!$H$38*(1+'Assumptions'!$B$8)^0</x:f>
        <x:v>186146.1</x:v>
      </x:c>
      <x:c r="H16" s="98" t="n">
        <x:f>'PnL_36M'!H$10*'Assumptions'!$H$38*(1+'Assumptions'!$B$8)^0</x:f>
        <x:v>209576.43</x:v>
      </x:c>
      <x:c r="I16" s="98" t="n">
        <x:f>'PnL_36M'!I$10*'Assumptions'!$H$38*(1+'Assumptions'!$B$8)^0</x:f>
        <x:v>198092.78999999998</x:v>
      </x:c>
      <x:c r="J16" s="98" t="n">
        <x:f>'PnL_36M'!J$10*'Assumptions'!$H$38*(1+'Assumptions'!$B$8)^0</x:f>
        <x:v>169476.30000000002</x:v>
      </x:c>
      <x:c r="K16" s="98" t="n">
        <x:f>'PnL_36M'!K$10*'Assumptions'!$H$38*(1+'Assumptions'!$B$8)^0</x:f>
        <x:v>157900.05000000002</x:v>
      </x:c>
      <x:c r="L16" s="98" t="n">
        <x:f>'PnL_36M'!L$10*'Assumptions'!$H$38*(1+'Assumptions'!$B$8)^0</x:f>
        <x:v>136136.69999999998</x:v>
      </x:c>
      <x:c r="M16" s="98" t="n">
        <x:f>'PnL_36M'!M$10*'Assumptions'!$H$38*(1+'Assumptions'!$B$8)^0</x:f>
        <x:v>180867.33</x:v>
      </x:c>
      <x:c r="N16" s="98" t="n">
        <x:f>'PnL_36M'!N$10*'Assumptions'!$H$38*(1+'Assumptions'!$B$8)^1</x:f>
        <x:v>135420.8247</x:v>
      </x:c>
      <x:c r="O16" s="98" t="n">
        <x:f>'PnL_36M'!O$10*'Assumptions'!$H$38*(1+'Assumptions'!$B$8)^1</x:f>
        <x:v>130561.57800000001</x:v>
      </x:c>
      <x:c r="P16" s="98" t="n">
        <x:f>'PnL_36M'!P$10*'Assumptions'!$H$38*(1+'Assumptions'!$B$8)^1</x:f>
        <x:v>156722.97690000004</x:v>
      </x:c>
      <x:c r="Q16" s="98" t="n">
        <x:f>'PnL_36M'!Q$10*'Assumptions'!$H$38*(1+'Assumptions'!$B$8)^1</x:f>
        <x:v>163447.38900000002</x:v>
      </x:c>
      <x:c r="R16" s="98" t="n">
        <x:f>'PnL_36M'!R$10*'Assumptions'!$H$38*(1+'Assumptions'!$B$8)^1</x:f>
        <x:v>184111.4583</x:v>
      </x:c>
      <x:c r="S16" s="98" t="n">
        <x:f>'PnL_36M'!S$10*'Assumptions'!$H$38*(1+'Assumptions'!$B$8)^1</x:f>
        <x:v>204677.36099999998</x:v>
      </x:c>
      <x:c r="T16" s="98" t="n">
        <x:f>'PnL_36M'!T$10*'Assumptions'!$H$38*(1+'Assumptions'!$B$8)^1</x:f>
        <x:v>229758.9273</x:v>
      </x:c>
      <x:c r="U16" s="98" t="n">
        <x:f>'PnL_36M'!U$10*'Assumptions'!$H$38*(1+'Assumptions'!$B$8)^1</x:f>
        <x:v>217586.2689</x:v>
      </x:c>
      <x:c r="V16" s="98" t="n">
        <x:f>'PnL_36M'!V$10*'Assumptions'!$H$38*(1+'Assumptions'!$B$8)^1</x:f>
        <x:v>187007.373</x:v>
      </x:c>
      <x:c r="W16" s="98" t="n">
        <x:f>'PnL_36M'!W$10*'Assumptions'!$H$38*(1+'Assumptions'!$B$8)^1</x:f>
        <x:v>174981.96450000003</x:v>
      </x:c>
      <x:c r="X16" s="98" t="n">
        <x:f>'PnL_36M'!X$10*'Assumptions'!$H$38*(1+'Assumptions'!$B$8)^1</x:f>
        <x:v>151667.39700000003</x:v>
      </x:c>
      <x:c r="Y16" s="98" t="n">
        <x:f>'PnL_36M'!Y$10*'Assumptions'!$H$38*(1+'Assumptions'!$B$8)^1</x:f>
        <x:v>199327.28130000003</x:v>
      </x:c>
      <x:c r="Z16" s="98" t="n">
        <x:f>'PnL_36M'!Z$10*'Assumptions'!$H$38*(1+'Assumptions'!$B$8)^2</x:f>
        <x:v>149997.58313400001</x:v>
      </x:c>
      <x:c r="AA16" s="98" t="n">
        <x:f>'PnL_36M'!AA$10*'Assumptions'!$H$38*(1+'Assumptions'!$B$8)^2</x:f>
        <x:v>144222.442056</x:v>
      </x:c>
      <x:c r="AB16" s="98" t="n">
        <x:f>'PnL_36M'!AB$10*'Assumptions'!$H$38*(1+'Assumptions'!$B$8)^2</x:f>
        <x:v>172577.86446600003</x:v>
      </x:c>
      <x:c r="AC16" s="98" t="n">
        <x:f>'PnL_36M'!AC$10*'Assumptions'!$H$38*(1+'Assumptions'!$B$8)^2</x:f>
        <x:v>179497.62810000003</x:v>
      </x:c>
      <x:c r="AD16" s="98" t="n">
        <x:f>'PnL_36M'!AD$10*'Assumptions'!$H$38*(1+'Assumptions'!$B$8)^2</x:f>
        <x:v>201609.65475000002</x:v>
      </x:c>
      <x:c r="AE16" s="98" t="n">
        <x:f>'PnL_36M'!AE$10*'Assumptions'!$H$38*(1+'Assumptions'!$B$8)^2</x:f>
        <x:v>223201.39842000004</x:v>
      </x:c>
      <x:c r="AF16" s="98" t="n">
        <x:f>'PnL_36M'!AF$10*'Assumptions'!$H$38*(1+'Assumptions'!$B$8)^2</x:f>
        <x:v>249995.97189000007</x:v>
      </x:c>
      <x:c r="AG16" s="98" t="n">
        <x:f>'PnL_36M'!AG$10*'Assumptions'!$H$38*(1+'Assumptions'!$B$8)^2</x:f>
        <x:v>237092.95398600004</x:v>
      </x:c>
      <x:c r="AH16" s="98" t="n">
        <x:f>'PnL_36M'!AH$10*'Assumptions'!$H$38*(1+'Assumptions'!$B$8)^2</x:f>
        <x:v>204471.21114000006</x:v>
      </x:c>
      <x:c r="AI16" s="98" t="n">
        <x:f>'PnL_36M'!AI$10*'Assumptions'!$H$38*(1+'Assumptions'!$B$8)^2</x:f>
        <x:v>191932.39132200004</x:v>
      </x:c>
      <x:c r="AJ16" s="98" t="n">
        <x:f>'PnL_36M'!AJ$10*'Assumptions'!$H$38*(1+'Assumptions'!$B$8)^2</x:f>
        <x:v>167010.83658000003</x:v>
      </x:c>
      <x:c r="AK16" s="98" t="n">
        <x:f>'PnL_36M'!AK$10*'Assumptions'!$H$38*(1+'Assumptions'!$B$8)^2</x:f>
        <x:v>217738.42713000005</x:v>
      </x:c>
      <x:c r="AL16" s="80"/>
      <x:c r="AM16" s="80"/>
      <x:c r="AN16" s="80"/>
      <x:c r="AO16" s="80"/>
      <x:c r="AP16" s="80"/>
      <x:c r="AQ16" s="80"/>
      <x:c r="AR16" s="80"/>
      <x:c r="AS16" s="80"/>
      <x:c r="AT16" s="80"/>
      <x:c r="AU16" s="80"/>
      <x:c r="AV16" s="80"/>
      <x:c r="AW16" s="80"/>
      <x:c r="AX16" s="80"/>
      <x:c r="AY16" s="80"/>
      <x:c r="AZ16" s="80"/>
    </x:row>
    <x:row r="17">
      <x:c r="A17" s="80" t="str">
        <x:v>Прачечная: обработка белья</x:v>
      </x:c>
      <x:c r="B17" s="98" t="n">
        <x:f>'PnL_36M'!B$10*'Assumptions'!$H$39*(1+'Assumptions'!$B$8)^0</x:f>
        <x:v>31744.062</x:v>
      </x:c>
      <x:c r="C17" s="98" t="n">
        <x:f>'PnL_36M'!C$10*'Assumptions'!$H$39*(1+'Assumptions'!$B$8)^0</x:f>
        <x:v>36295.182</x:v>
      </x:c>
      <x:c r="D17" s="98" t="n">
        <x:f>'PnL_36M'!D$10*'Assumptions'!$H$39*(1+'Assumptions'!$B$8)^0</x:f>
        <x:v>47028.24</x:v>
      </x:c>
      <x:c r="E17" s="98" t="n">
        <x:f>'PnL_36M'!E$10*'Assumptions'!$H$39*(1+'Assumptions'!$B$8)^0</x:f>
        <x:v>53475.66</x:v>
      </x:c>
      <x:c r="F17" s="98" t="n">
        <x:f>'PnL_36M'!F$10*'Assumptions'!$H$39*(1+'Assumptions'!$B$8)^0</x:f>
        <x:v>64663.82999999999</x:v>
      </x:c>
      <x:c r="G17" s="98" t="n">
        <x:f>'PnL_36M'!G$10*'Assumptions'!$H$39*(1+'Assumptions'!$B$8)^0</x:f>
        <x:v>76231.26000000001</x:v>
      </x:c>
      <x:c r="H17" s="98" t="n">
        <x:f>'PnL_36M'!H$10*'Assumptions'!$H$39*(1+'Assumptions'!$B$8)^0</x:f>
        <x:v>85826.538</x:v>
      </x:c>
      <x:c r="I17" s="98" t="n">
        <x:f>'PnL_36M'!I$10*'Assumptions'!$H$39*(1+'Assumptions'!$B$8)^0</x:f>
        <x:v>81123.71399999999</x:v>
      </x:c>
      <x:c r="J17" s="98" t="n">
        <x:f>'PnL_36M'!J$10*'Assumptions'!$H$39*(1+'Assumptions'!$B$8)^0</x:f>
        <x:v>69404.58</x:v>
      </x:c>
      <x:c r="K17" s="98" t="n">
        <x:f>'PnL_36M'!K$10*'Assumptions'!$H$39*(1+'Assumptions'!$B$8)^0</x:f>
        <x:v>64663.83000000001</x:v>
      </x:c>
      <x:c r="L17" s="98" t="n">
        <x:f>'PnL_36M'!L$10*'Assumptions'!$H$39*(1+'Assumptions'!$B$8)^0</x:f>
        <x:v>55751.22</x:v>
      </x:c>
      <x:c r="M17" s="98" t="n">
        <x:f>'PnL_36M'!M$10*'Assumptions'!$H$39*(1+'Assumptions'!$B$8)^0</x:f>
        <x:v>74069.47799999999</x:v>
      </x:c>
      <x:c r="N17" s="98" t="n">
        <x:f>'PnL_36M'!N$10*'Assumptions'!$H$39*(1+'Assumptions'!$B$8)^1</x:f>
        <x:v>55458.052019999996</x:v>
      </x:c>
      <x:c r="O17" s="98" t="n">
        <x:f>'PnL_36M'!O$10*'Assumptions'!$H$39*(1+'Assumptions'!$B$8)^1</x:f>
        <x:v>53468.0748</x:v>
      </x:c>
      <x:c r="P17" s="98" t="n">
        <x:f>'PnL_36M'!P$10*'Assumptions'!$H$39*(1+'Assumptions'!$B$8)^1</x:f>
        <x:v>64181.79054000001</x:v>
      </x:c>
      <x:c r="Q17" s="98" t="n">
        <x:f>'PnL_36M'!Q$10*'Assumptions'!$H$39*(1+'Assumptions'!$B$8)^1</x:f>
        <x:v>66935.5974</x:v>
      </x:c>
      <x:c r="R17" s="98" t="n">
        <x:f>'PnL_36M'!R$10*'Assumptions'!$H$39*(1+'Assumptions'!$B$8)^1</x:f>
        <x:v>75398.02578</x:v>
      </x:c>
      <x:c r="S17" s="98" t="n">
        <x:f>'PnL_36M'!S$10*'Assumptions'!$H$39*(1+'Assumptions'!$B$8)^1</x:f>
        <x:v>83820.25259999999</x:v>
      </x:c>
      <x:c r="T17" s="98" t="n">
        <x:f>'PnL_36M'!T$10*'Assumptions'!$H$39*(1+'Assumptions'!$B$8)^1</x:f>
        <x:v>94091.75118</x:v>
      </x:c>
      <x:c r="U17" s="98" t="n">
        <x:f>'PnL_36M'!U$10*'Assumptions'!$H$39*(1+'Assumptions'!$B$8)^1</x:f>
        <x:v>89106.75774</x:v>
      </x:c>
      <x:c r="V17" s="98" t="n">
        <x:f>'PnL_36M'!V$10*'Assumptions'!$H$39*(1+'Assumptions'!$B$8)^1</x:f>
        <x:v>76583.9718</x:v>
      </x:c>
      <x:c r="W17" s="98" t="n">
        <x:f>'PnL_36M'!W$10*'Assumptions'!$H$39*(1+'Assumptions'!$B$8)^1</x:f>
        <x:v>71659.28070000002</x:v>
      </x:c>
      <x:c r="X17" s="98" t="n">
        <x:f>'PnL_36M'!X$10*'Assumptions'!$H$39*(1+'Assumptions'!$B$8)^1</x:f>
        <x:v>62111.410200000006</x:v>
      </x:c>
      <x:c r="Y17" s="98" t="n">
        <x:f>'PnL_36M'!Y$10*'Assumptions'!$H$39*(1+'Assumptions'!$B$8)^1</x:f>
        <x:v>81629.26758</x:v>
      </x:c>
      <x:c r="Z17" s="98" t="n">
        <x:f>'PnL_36M'!Z$10*'Assumptions'!$H$39*(1+'Assumptions'!$B$8)^2</x:f>
        <x:v>61427.58166440001</x:v>
      </x:c>
      <x:c r="AA17" s="98" t="n">
        <x:f>'PnL_36M'!AA$10*'Assumptions'!$H$39*(1+'Assumptions'!$B$8)^2</x:f>
        <x:v>59062.5238896</x:v>
      </x:c>
      <x:c r="AB17" s="98" t="n">
        <x:f>'PnL_36M'!AB$10*'Assumptions'!$H$39*(1+'Assumptions'!$B$8)^2</x:f>
        <x:v>70674.7444956</x:v>
      </x:c>
      <x:c r="AC17" s="98" t="n">
        <x:f>'PnL_36M'!AC$10*'Assumptions'!$H$39*(1+'Assumptions'!$B$8)^2</x:f>
        <x:v>73508.55246000002</x:v>
      </x:c>
      <x:c r="AD17" s="98" t="n">
        <x:f>'PnL_36M'!AD$10*'Assumptions'!$H$39*(1+'Assumptions'!$B$8)^2</x:f>
        <x:v>82563.95385</x:v>
      </x:c>
      <x:c r="AE17" s="98" t="n">
        <x:f>'PnL_36M'!AE$10*'Assumptions'!$H$39*(1+'Assumptions'!$B$8)^2</x:f>
        <x:v>91406.28697200002</x:v>
      </x:c>
      <x:c r="AF17" s="98" t="n">
        <x:f>'PnL_36M'!AF$10*'Assumptions'!$H$39*(1+'Assumptions'!$B$8)^2</x:f>
        <x:v>102379.30277400003</x:v>
      </x:c>
      <x:c r="AG17" s="98" t="n">
        <x:f>'PnL_36M'!AG$10*'Assumptions'!$H$39*(1+'Assumptions'!$B$8)^2</x:f>
        <x:v>97095.20972760001</x:v>
      </x:c>
      <x:c r="AH17" s="98" t="n">
        <x:f>'PnL_36M'!AH$10*'Assumptions'!$H$39*(1+'Assumptions'!$B$8)^2</x:f>
        <x:v>83735.82932400002</x:v>
      </x:c>
      <x:c r="AI17" s="98" t="n">
        <x:f>'PnL_36M'!AI$10*'Assumptions'!$H$39*(1+'Assumptions'!$B$8)^2</x:f>
        <x:v>78600.88406520002</x:v>
      </x:c>
      <x:c r="AJ17" s="98" t="n">
        <x:f>'PnL_36M'!AJ$10*'Assumptions'!$H$39*(1+'Assumptions'!$B$8)^2</x:f>
        <x:v>68394.91402800001</x:v>
      </x:c>
      <x:c r="AK17" s="98" t="n">
        <x:f>'PnL_36M'!AK$10*'Assumptions'!$H$39*(1+'Assumptions'!$B$8)^2</x:f>
        <x:v>89169.07015800002</x:v>
      </x:c>
      <x:c r="AL17" s="80"/>
      <x:c r="AM17" s="80"/>
      <x:c r="AN17" s="80"/>
      <x:c r="AO17" s="80"/>
      <x:c r="AP17" s="80"/>
      <x:c r="AQ17" s="80"/>
      <x:c r="AR17" s="80"/>
      <x:c r="AS17" s="80"/>
      <x:c r="AT17" s="80"/>
      <x:c r="AU17" s="80"/>
      <x:c r="AV17" s="80"/>
      <x:c r="AW17" s="80"/>
      <x:c r="AX17" s="80"/>
      <x:c r="AY17" s="80"/>
      <x:c r="AZ17" s="80"/>
    </x:row>
    <x:row r="18">
      <x:c r="A18" s="80" t="str">
        <x:v>Замена белья и полотенец</x:v>
      </x:c>
      <x:c r="B18" s="98" t="n">
        <x:f>'PnL_36M'!B$10*'Assumptions'!$H$40*(1+'Assumptions'!$B$8)^0</x:f>
        <x:v>13288.212000000001</x:v>
      </x:c>
      <x:c r="C18" s="98" t="n">
        <x:f>'PnL_36M'!C$10*'Assumptions'!$H$40*(1+'Assumptions'!$B$8)^0</x:f>
        <x:v>15193.331999999999</x:v>
      </x:c>
      <x:c r="D18" s="98" t="n">
        <x:f>'PnL_36M'!D$10*'Assumptions'!$H$40*(1+'Assumptions'!$B$8)^0</x:f>
        <x:v>19686.239999999998</x:v>
      </x:c>
      <x:c r="E18" s="98" t="n">
        <x:f>'PnL_36M'!E$10*'Assumptions'!$H$40*(1+'Assumptions'!$B$8)^0</x:f>
        <x:v>22385.16</x:v>
      </x:c>
      <x:c r="F18" s="98" t="n">
        <x:f>'PnL_36M'!F$10*'Assumptions'!$H$40*(1+'Assumptions'!$B$8)^0</x:f>
        <x:v>27068.579999999994</x:v>
      </x:c>
      <x:c r="G18" s="98" t="n">
        <x:f>'PnL_36M'!G$10*'Assumptions'!$H$40*(1+'Assumptions'!$B$8)^0</x:f>
        <x:v>31910.760000000002</x:v>
      </x:c>
      <x:c r="H18" s="98" t="n">
        <x:f>'PnL_36M'!H$10*'Assumptions'!$H$40*(1+'Assumptions'!$B$8)^0</x:f>
        <x:v>35927.388</x:v>
      </x:c>
      <x:c r="I18" s="98" t="n">
        <x:f>'PnL_36M'!I$10*'Assumptions'!$H$40*(1+'Assumptions'!$B$8)^0</x:f>
        <x:v>33958.763999999996</x:v>
      </x:c>
      <x:c r="J18" s="98" t="n">
        <x:f>'PnL_36M'!J$10*'Assumptions'!$H$40*(1+'Assumptions'!$B$8)^0</x:f>
        <x:v>29053.08</x:v>
      </x:c>
      <x:c r="K18" s="98" t="n">
        <x:f>'PnL_36M'!K$10*'Assumptions'!$H$40*(1+'Assumptions'!$B$8)^0</x:f>
        <x:v>27068.580000000005</x:v>
      </x:c>
      <x:c r="L18" s="98" t="n">
        <x:f>'PnL_36M'!L$10*'Assumptions'!$H$40*(1+'Assumptions'!$B$8)^0</x:f>
        <x:v>23337.72</x:v>
      </x:c>
      <x:c r="M18" s="98" t="n">
        <x:f>'PnL_36M'!M$10*'Assumptions'!$H$40*(1+'Assumptions'!$B$8)^0</x:f>
        <x:v>31005.827999999998</x:v>
      </x:c>
      <x:c r="N18" s="98" t="n">
        <x:f>'PnL_36M'!N$10*'Assumptions'!$H$40*(1+'Assumptions'!$B$8)^1</x:f>
        <x:v>23214.99852</x:v>
      </x:c>
      <x:c r="O18" s="98" t="n">
        <x:f>'PnL_36M'!O$10*'Assumptions'!$H$40*(1+'Assumptions'!$B$8)^1</x:f>
        <x:v>22381.9848</x:v>
      </x:c>
      <x:c r="P18" s="98" t="n">
        <x:f>'PnL_36M'!P$10*'Assumptions'!$H$40*(1+'Assumptions'!$B$8)^1</x:f>
        <x:v>26866.796040000005</x:v>
      </x:c>
      <x:c r="Q18" s="98" t="n">
        <x:f>'PnL_36M'!Q$10*'Assumptions'!$H$40*(1+'Assumptions'!$B$8)^1</x:f>
        <x:v>28019.552400000004</x:v>
      </x:c>
      <x:c r="R18" s="98" t="n">
        <x:f>'PnL_36M'!R$10*'Assumptions'!$H$40*(1+'Assumptions'!$B$8)^1</x:f>
        <x:v>31561.96428</x:v>
      </x:c>
      <x:c r="S18" s="98" t="n">
        <x:f>'PnL_36M'!S$10*'Assumptions'!$H$40*(1+'Assumptions'!$B$8)^1</x:f>
        <x:v>35087.5476</x:v>
      </x:c>
      <x:c r="T18" s="98" t="n">
        <x:f>'PnL_36M'!T$10*'Assumptions'!$H$40*(1+'Assumptions'!$B$8)^1</x:f>
        <x:v>39387.24468</x:v>
      </x:c>
      <x:c r="U18" s="98" t="n">
        <x:f>'PnL_36M'!U$10*'Assumptions'!$H$40*(1+'Assumptions'!$B$8)^1</x:f>
        <x:v>37300.50324</x:v>
      </x:c>
      <x:c r="V18" s="98" t="n">
        <x:f>'PnL_36M'!V$10*'Assumptions'!$H$40*(1+'Assumptions'!$B$8)^1</x:f>
        <x:v>32058.4068</x:v>
      </x:c>
      <x:c r="W18" s="98" t="n">
        <x:f>'PnL_36M'!W$10*'Assumptions'!$H$40*(1+'Assumptions'!$B$8)^1</x:f>
        <x:v>29996.908200000005</x:v>
      </x:c>
      <x:c r="X18" s="98" t="n">
        <x:f>'PnL_36M'!X$10*'Assumptions'!$H$40*(1+'Assumptions'!$B$8)^1</x:f>
        <x:v>26000.125200000002</x:v>
      </x:c>
      <x:c r="Y18" s="98" t="n">
        <x:f>'PnL_36M'!Y$10*'Assumptions'!$H$40*(1+'Assumptions'!$B$8)^1</x:f>
        <x:v>34170.39108</x:v>
      </x:c>
      <x:c r="Z18" s="98" t="n">
        <x:f>'PnL_36M'!Z$10*'Assumptions'!$H$40*(1+'Assumptions'!$B$8)^2</x:f>
        <x:v>25713.871394400005</x:v>
      </x:c>
      <x:c r="AA18" s="98" t="n">
        <x:f>'PnL_36M'!AA$10*'Assumptions'!$H$40*(1+'Assumptions'!$B$8)^2</x:f>
        <x:v>24723.8472096</x:v>
      </x:c>
      <x:c r="AB18" s="98" t="n">
        <x:f>'PnL_36M'!AB$10*'Assumptions'!$H$40*(1+'Assumptions'!$B$8)^2</x:f>
        <x:v>29584.776765600003</x:v>
      </x:c>
      <x:c r="AC18" s="98" t="n">
        <x:f>'PnL_36M'!AC$10*'Assumptions'!$H$40*(1+'Assumptions'!$B$8)^2</x:f>
        <x:v>30771.021960000005</x:v>
      </x:c>
      <x:c r="AD18" s="98" t="n">
        <x:f>'PnL_36M'!AD$10*'Assumptions'!$H$40*(1+'Assumptions'!$B$8)^2</x:f>
        <x:v>34561.6551</x:v>
      </x:c>
      <x:c r="AE18" s="98" t="n">
        <x:f>'PnL_36M'!AE$10*'Assumptions'!$H$40*(1+'Assumptions'!$B$8)^2</x:f>
        <x:v>38263.09687200001</x:v>
      </x:c>
      <x:c r="AF18" s="98" t="n">
        <x:f>'PnL_36M'!AF$10*'Assumptions'!$H$40*(1+'Assumptions'!$B$8)^2</x:f>
        <x:v>42856.45232400001</x:v>
      </x:c>
      <x:c r="AG18" s="98" t="n">
        <x:f>'PnL_36M'!AG$10*'Assumptions'!$H$40*(1+'Assumptions'!$B$8)^2</x:f>
        <x:v>40644.50639760001</x:v>
      </x:c>
      <x:c r="AH18" s="98" t="n">
        <x:f>'PnL_36M'!AH$10*'Assumptions'!$H$40*(1+'Assumptions'!$B$8)^2</x:f>
        <x:v>35052.20762400001</x:v>
      </x:c>
      <x:c r="AI18" s="98" t="n">
        <x:f>'PnL_36M'!AI$10*'Assumptions'!$H$40*(1+'Assumptions'!$B$8)^2</x:f>
        <x:v>32902.69565520001</x:v>
      </x:c>
      <x:c r="AJ18" s="98" t="n">
        <x:f>'PnL_36M'!AJ$10*'Assumptions'!$H$40*(1+'Assumptions'!$B$8)^2</x:f>
        <x:v>28630.429128000003</x:v>
      </x:c>
      <x:c r="AK18" s="98" t="n">
        <x:f>'PnL_36M'!AK$10*'Assumptions'!$H$40*(1+'Assumptions'!$B$8)^2</x:f>
        <x:v>37326.587508000004</x:v>
      </x:c>
      <x:c r="AL18" s="80"/>
      <x:c r="AM18" s="80"/>
      <x:c r="AN18" s="80"/>
      <x:c r="AO18" s="80"/>
      <x:c r="AP18" s="80"/>
      <x:c r="AQ18" s="80"/>
      <x:c r="AR18" s="80"/>
      <x:c r="AS18" s="80"/>
      <x:c r="AT18" s="80"/>
      <x:c r="AU18" s="80"/>
      <x:c r="AV18" s="80"/>
      <x:c r="AW18" s="80"/>
      <x:c r="AX18" s="80"/>
      <x:c r="AY18" s="80"/>
      <x:c r="AZ18" s="80"/>
    </x:row>
    <x:row r="19">
      <x:c r="A19" s="80" t="str">
        <x:v>Зубные наборы</x:v>
      </x:c>
      <x:c r="B19" s="98" t="n">
        <x:f>'PnL_36M'!B$10*'Assumptions'!$H$41*(1+'Assumptions'!$B$8)^0</x:f>
        <x:v>5905.872</x:v>
      </x:c>
      <x:c r="C19" s="98" t="n">
        <x:f>'PnL_36M'!C$10*'Assumptions'!$H$41*(1+'Assumptions'!$B$8)^0</x:f>
        <x:v>6752.592</x:v>
      </x:c>
      <x:c r="D19" s="98" t="n">
        <x:f>'PnL_36M'!D$10*'Assumptions'!$H$41*(1+'Assumptions'!$B$8)^0</x:f>
        <x:v>8749.439999999999</x:v>
      </x:c>
      <x:c r="E19" s="98" t="n">
        <x:f>'PnL_36M'!E$10*'Assumptions'!$H$41*(1+'Assumptions'!$B$8)^0</x:f>
        <x:v>9948.960000000001</x:v>
      </x:c>
      <x:c r="F19" s="98" t="n">
        <x:f>'PnL_36M'!F$10*'Assumptions'!$H$41*(1+'Assumptions'!$B$8)^0</x:f>
        <x:v>12030.479999999998</x:v>
      </x:c>
      <x:c r="G19" s="98" t="n">
        <x:f>'PnL_36M'!G$10*'Assumptions'!$H$41*(1+'Assumptions'!$B$8)^0</x:f>
        <x:v>14182.560000000001</x:v>
      </x:c>
      <x:c r="H19" s="98" t="n">
        <x:f>'PnL_36M'!H$10*'Assumptions'!$H$41*(1+'Assumptions'!$B$8)^0</x:f>
        <x:v>15967.728</x:v>
      </x:c>
      <x:c r="I19" s="98" t="n">
        <x:f>'PnL_36M'!I$10*'Assumptions'!$H$41*(1+'Assumptions'!$B$8)^0</x:f>
        <x:v>15092.784</x:v>
      </x:c>
      <x:c r="J19" s="98" t="n">
        <x:f>'PnL_36M'!J$10*'Assumptions'!$H$41*(1+'Assumptions'!$B$8)^0</x:f>
        <x:v>12912.48</x:v>
      </x:c>
      <x:c r="K19" s="98" t="n">
        <x:f>'PnL_36M'!K$10*'Assumptions'!$H$41*(1+'Assumptions'!$B$8)^0</x:f>
        <x:v>12030.480000000003</x:v>
      </x:c>
      <x:c r="L19" s="98" t="n">
        <x:f>'PnL_36M'!L$10*'Assumptions'!$H$41*(1+'Assumptions'!$B$8)^0</x:f>
        <x:v>10372.32</x:v>
      </x:c>
      <x:c r="M19" s="98" t="n">
        <x:f>'PnL_36M'!M$10*'Assumptions'!$H$41*(1+'Assumptions'!$B$8)^0</x:f>
        <x:v>13780.367999999999</x:v>
      </x:c>
      <x:c r="N19" s="98" t="n">
        <x:f>'PnL_36M'!N$10*'Assumptions'!$H$41*(1+'Assumptions'!$B$8)^1</x:f>
        <x:v>10317.77712</x:v>
      </x:c>
      <x:c r="O19" s="98" t="n">
        <x:f>'PnL_36M'!O$10*'Assumptions'!$H$41*(1+'Assumptions'!$B$8)^1</x:f>
        <x:v>9947.5488</x:v>
      </x:c>
      <x:c r="P19" s="98" t="n">
        <x:f>'PnL_36M'!P$10*'Assumptions'!$H$41*(1+'Assumptions'!$B$8)^1</x:f>
        <x:v>11940.798240000004</x:v>
      </x:c>
      <x:c r="Q19" s="98" t="n">
        <x:f>'PnL_36M'!Q$10*'Assumptions'!$H$41*(1+'Assumptions'!$B$8)^1</x:f>
        <x:v>12453.134400000003</x:v>
      </x:c>
      <x:c r="R19" s="98" t="n">
        <x:f>'PnL_36M'!R$10*'Assumptions'!$H$41*(1+'Assumptions'!$B$8)^1</x:f>
        <x:v>14027.53968</x:v>
      </x:c>
      <x:c r="S19" s="98" t="n">
        <x:f>'PnL_36M'!S$10*'Assumptions'!$H$41*(1+'Assumptions'!$B$8)^1</x:f>
        <x:v>15594.4656</x:v>
      </x:c>
      <x:c r="T19" s="98" t="n">
        <x:f>'PnL_36M'!T$10*'Assumptions'!$H$41*(1+'Assumptions'!$B$8)^1</x:f>
        <x:v>17505.44208</x:v>
      </x:c>
      <x:c r="U19" s="98" t="n">
        <x:f>'PnL_36M'!U$10*'Assumptions'!$H$41*(1+'Assumptions'!$B$8)^1</x:f>
        <x:v>16578.00144</x:v>
      </x:c>
      <x:c r="V19" s="98" t="n">
        <x:f>'PnL_36M'!V$10*'Assumptions'!$H$41*(1+'Assumptions'!$B$8)^1</x:f>
        <x:v>14248.180799999998</x:v>
      </x:c>
      <x:c r="W19" s="98" t="n">
        <x:f>'PnL_36M'!W$10*'Assumptions'!$H$41*(1+'Assumptions'!$B$8)^1</x:f>
        <x:v>13331.959200000003</x:v>
      </x:c>
      <x:c r="X19" s="98" t="n">
        <x:f>'PnL_36M'!X$10*'Assumptions'!$H$41*(1+'Assumptions'!$B$8)^1</x:f>
        <x:v>11555.611200000001</x:v>
      </x:c>
      <x:c r="Y19" s="98" t="n">
        <x:f>'PnL_36M'!Y$10*'Assumptions'!$H$41*(1+'Assumptions'!$B$8)^1</x:f>
        <x:v>15186.84048</x:v>
      </x:c>
      <x:c r="Z19" s="98" t="n">
        <x:f>'PnL_36M'!Z$10*'Assumptions'!$H$41*(1+'Assumptions'!$B$8)^2</x:f>
        <x:v>11428.387286400002</x:v>
      </x:c>
      <x:c r="AA19" s="98" t="n">
        <x:f>'PnL_36M'!AA$10*'Assumptions'!$H$41*(1+'Assumptions'!$B$8)^2</x:f>
        <x:v>10988.3765376</x:v>
      </x:c>
      <x:c r="AB19" s="98" t="n">
        <x:f>'PnL_36M'!AB$10*'Assumptions'!$H$41*(1+'Assumptions'!$B$8)^2</x:f>
        <x:v>13148.789673600002</x:v>
      </x:c>
      <x:c r="AC19" s="98" t="n">
        <x:f>'PnL_36M'!AC$10*'Assumptions'!$H$41*(1+'Assumptions'!$B$8)^2</x:f>
        <x:v>13676.009760000003</x:v>
      </x:c>
      <x:c r="AD19" s="98" t="n">
        <x:f>'PnL_36M'!AD$10*'Assumptions'!$H$41*(1+'Assumptions'!$B$8)^2</x:f>
        <x:v>15360.735600000002</x:v>
      </x:c>
      <x:c r="AE19" s="98" t="n">
        <x:f>'PnL_36M'!AE$10*'Assumptions'!$H$41*(1+'Assumptions'!$B$8)^2</x:f>
        <x:v>17005.820832000005</x:v>
      </x:c>
      <x:c r="AF19" s="98" t="n">
        <x:f>'PnL_36M'!AF$10*'Assumptions'!$H$41*(1+'Assumptions'!$B$8)^2</x:f>
        <x:v>19047.312144000003</x:v>
      </x:c>
      <x:c r="AG19" s="98" t="n">
        <x:f>'PnL_36M'!AG$10*'Assumptions'!$H$41*(1+'Assumptions'!$B$8)^2</x:f>
        <x:v>18064.225065600003</x:v>
      </x:c>
      <x:c r="AH19" s="98" t="n">
        <x:f>'PnL_36M'!AH$10*'Assumptions'!$H$41*(1+'Assumptions'!$B$8)^2</x:f>
        <x:v>15578.758944000003</x:v>
      </x:c>
      <x:c r="AI19" s="98" t="n">
        <x:f>'PnL_36M'!AI$10*'Assumptions'!$H$41*(1+'Assumptions'!$B$8)^2</x:f>
        <x:v>14623.420291200004</x:v>
      </x:c>
      <x:c r="AJ19" s="98" t="n">
        <x:f>'PnL_36M'!AJ$10*'Assumptions'!$H$41*(1+'Assumptions'!$B$8)^2</x:f>
        <x:v>12724.635168000003</x:v>
      </x:c>
      <x:c r="AK19" s="98" t="n">
        <x:f>'PnL_36M'!AK$10*'Assumptions'!$H$41*(1+'Assumptions'!$B$8)^2</x:f>
        <x:v>16589.594448000003</x:v>
      </x:c>
      <x:c r="AL19" s="80"/>
      <x:c r="AM19" s="80"/>
      <x:c r="AN19" s="80"/>
      <x:c r="AO19" s="80"/>
      <x:c r="AP19" s="80"/>
      <x:c r="AQ19" s="80"/>
      <x:c r="AR19" s="80"/>
      <x:c r="AS19" s="80"/>
      <x:c r="AT19" s="80"/>
      <x:c r="AU19" s="80"/>
      <x:c r="AV19" s="80"/>
      <x:c r="AW19" s="80"/>
      <x:c r="AX19" s="80"/>
      <x:c r="AY19" s="80"/>
      <x:c r="AZ19" s="80"/>
    </x:row>
    <x:row r="20">
      <x:c r="A20" s="80" t="str">
        <x:v>Шампунь, гель и мыло</x:v>
      </x:c>
      <x:c r="B20" s="98" t="n">
        <x:f>'PnL_36M'!B$10*'Assumptions'!$H$42*(1+'Assumptions'!$B$8)^0</x:f>
        <x:v>6644.106000000001</x:v>
      </x:c>
      <x:c r="C20" s="98" t="n">
        <x:f>'PnL_36M'!C$10*'Assumptions'!$H$42*(1+'Assumptions'!$B$8)^0</x:f>
        <x:v>7596.665999999999</x:v>
      </x:c>
      <x:c r="D20" s="98" t="n">
        <x:f>'PnL_36M'!D$10*'Assumptions'!$H$42*(1+'Assumptions'!$B$8)^0</x:f>
        <x:v>9843.119999999999</x:v>
      </x:c>
      <x:c r="E20" s="98" t="n">
        <x:f>'PnL_36M'!E$10*'Assumptions'!$H$42*(1+'Assumptions'!$B$8)^0</x:f>
        <x:v>11192.58</x:v>
      </x:c>
      <x:c r="F20" s="98" t="n">
        <x:f>'PnL_36M'!F$10*'Assumptions'!$H$42*(1+'Assumptions'!$B$8)^0</x:f>
        <x:v>13534.289999999997</x:v>
      </x:c>
      <x:c r="G20" s="98" t="n">
        <x:f>'PnL_36M'!G$10*'Assumptions'!$H$42*(1+'Assumptions'!$B$8)^0</x:f>
        <x:v>15955.380000000001</x:v>
      </x:c>
      <x:c r="H20" s="98" t="n">
        <x:f>'PnL_36M'!H$10*'Assumptions'!$H$42*(1+'Assumptions'!$B$8)^0</x:f>
        <x:v>17963.694</x:v>
      </x:c>
      <x:c r="I20" s="98" t="n">
        <x:f>'PnL_36M'!I$10*'Assumptions'!$H$42*(1+'Assumptions'!$B$8)^0</x:f>
        <x:v>16979.381999999998</x:v>
      </x:c>
      <x:c r="J20" s="98" t="n">
        <x:f>'PnL_36M'!J$10*'Assumptions'!$H$42*(1+'Assumptions'!$B$8)^0</x:f>
        <x:v>14526.54</x:v>
      </x:c>
      <x:c r="K20" s="98" t="n">
        <x:f>'PnL_36M'!K$10*'Assumptions'!$H$42*(1+'Assumptions'!$B$8)^0</x:f>
        <x:v>13534.290000000003</x:v>
      </x:c>
      <x:c r="L20" s="98" t="n">
        <x:f>'PnL_36M'!L$10*'Assumptions'!$H$42*(1+'Assumptions'!$B$8)^0</x:f>
        <x:v>11668.86</x:v>
      </x:c>
      <x:c r="M20" s="98" t="n">
        <x:f>'PnL_36M'!M$10*'Assumptions'!$H$42*(1+'Assumptions'!$B$8)^0</x:f>
        <x:v>15502.913999999999</x:v>
      </x:c>
      <x:c r="N20" s="98" t="n">
        <x:f>'PnL_36M'!N$10*'Assumptions'!$H$42*(1+'Assumptions'!$B$8)^1</x:f>
        <x:v>11607.49926</x:v>
      </x:c>
      <x:c r="O20" s="98" t="n">
        <x:f>'PnL_36M'!O$10*'Assumptions'!$H$42*(1+'Assumptions'!$B$8)^1</x:f>
        <x:v>11190.9924</x:v>
      </x:c>
      <x:c r="P20" s="98" t="n">
        <x:f>'PnL_36M'!P$10*'Assumptions'!$H$42*(1+'Assumptions'!$B$8)^1</x:f>
        <x:v>13433.398020000002</x:v>
      </x:c>
      <x:c r="Q20" s="98" t="n">
        <x:f>'PnL_36M'!Q$10*'Assumptions'!$H$42*(1+'Assumptions'!$B$8)^1</x:f>
        <x:v>14009.776200000002</x:v>
      </x:c>
      <x:c r="R20" s="98" t="n">
        <x:f>'PnL_36M'!R$10*'Assumptions'!$H$42*(1+'Assumptions'!$B$8)^1</x:f>
        <x:v>15780.98214</x:v>
      </x:c>
      <x:c r="S20" s="98" t="n">
        <x:f>'PnL_36M'!S$10*'Assumptions'!$H$42*(1+'Assumptions'!$B$8)^1</x:f>
        <x:v>17543.7738</x:v>
      </x:c>
      <x:c r="T20" s="98" t="n">
        <x:f>'PnL_36M'!T$10*'Assumptions'!$H$42*(1+'Assumptions'!$B$8)^1</x:f>
        <x:v>19693.62234</x:v>
      </x:c>
      <x:c r="U20" s="98" t="n">
        <x:f>'PnL_36M'!U$10*'Assumptions'!$H$42*(1+'Assumptions'!$B$8)^1</x:f>
        <x:v>18650.25162</x:v>
      </x:c>
      <x:c r="V20" s="98" t="n">
        <x:f>'PnL_36M'!V$10*'Assumptions'!$H$42*(1+'Assumptions'!$B$8)^1</x:f>
        <x:v>16029.2034</x:v>
      </x:c>
      <x:c r="W20" s="98" t="n">
        <x:f>'PnL_36M'!W$10*'Assumptions'!$H$42*(1+'Assumptions'!$B$8)^1</x:f>
        <x:v>14998.454100000003</x:v>
      </x:c>
      <x:c r="X20" s="98" t="n">
        <x:f>'PnL_36M'!X$10*'Assumptions'!$H$42*(1+'Assumptions'!$B$8)^1</x:f>
        <x:v>13000.062600000001</x:v>
      </x:c>
      <x:c r="Y20" s="98" t="n">
        <x:f>'PnL_36M'!Y$10*'Assumptions'!$H$42*(1+'Assumptions'!$B$8)^1</x:f>
        <x:v>17085.19554</x:v>
      </x:c>
      <x:c r="Z20" s="98" t="n">
        <x:f>'PnL_36M'!Z$10*'Assumptions'!$H$42*(1+'Assumptions'!$B$8)^2</x:f>
        <x:v>12856.935697200002</x:v>
      </x:c>
      <x:c r="AA20" s="98" t="n">
        <x:f>'PnL_36M'!AA$10*'Assumptions'!$H$42*(1+'Assumptions'!$B$8)^2</x:f>
        <x:v>12361.9236048</x:v>
      </x:c>
      <x:c r="AB20" s="98" t="n">
        <x:f>'PnL_36M'!AB$10*'Assumptions'!$H$42*(1+'Assumptions'!$B$8)^2</x:f>
        <x:v>14792.388382800002</x:v>
      </x:c>
      <x:c r="AC20" s="98" t="n">
        <x:f>'PnL_36M'!AC$10*'Assumptions'!$H$42*(1+'Assumptions'!$B$8)^2</x:f>
        <x:v>15385.510980000003</x:v>
      </x:c>
      <x:c r="AD20" s="98" t="n">
        <x:f>'PnL_36M'!AD$10*'Assumptions'!$H$42*(1+'Assumptions'!$B$8)^2</x:f>
        <x:v>17280.82755</x:v>
      </x:c>
      <x:c r="AE20" s="98" t="n">
        <x:f>'PnL_36M'!AE$10*'Assumptions'!$H$42*(1+'Assumptions'!$B$8)^2</x:f>
        <x:v>19131.548436000005</x:v>
      </x:c>
      <x:c r="AF20" s="98" t="n">
        <x:f>'PnL_36M'!AF$10*'Assumptions'!$H$42*(1+'Assumptions'!$B$8)^2</x:f>
        <x:v>21428.226162000006</x:v>
      </x:c>
      <x:c r="AG20" s="98" t="n">
        <x:f>'PnL_36M'!AG$10*'Assumptions'!$H$42*(1+'Assumptions'!$B$8)^2</x:f>
        <x:v>20322.253198800005</x:v>
      </x:c>
      <x:c r="AH20" s="98" t="n">
        <x:f>'PnL_36M'!AH$10*'Assumptions'!$H$42*(1+'Assumptions'!$B$8)^2</x:f>
        <x:v>17526.103812000005</x:v>
      </x:c>
      <x:c r="AI20" s="98" t="n">
        <x:f>'PnL_36M'!AI$10*'Assumptions'!$H$42*(1+'Assumptions'!$B$8)^2</x:f>
        <x:v>16451.347827600006</x:v>
      </x:c>
      <x:c r="AJ20" s="98" t="n">
        <x:f>'PnL_36M'!AJ$10*'Assumptions'!$H$42*(1+'Assumptions'!$B$8)^2</x:f>
        <x:v>14315.214564000002</x:v>
      </x:c>
      <x:c r="AK20" s="98" t="n">
        <x:f>'PnL_36M'!AK$10*'Assumptions'!$H$42*(1+'Assumptions'!$B$8)^2</x:f>
        <x:v>18663.293754000002</x:v>
      </x:c>
      <x:c r="AL20" s="80"/>
      <x:c r="AM20" s="80"/>
      <x:c r="AN20" s="80"/>
      <x:c r="AO20" s="80"/>
      <x:c r="AP20" s="80"/>
      <x:c r="AQ20" s="80"/>
      <x:c r="AR20" s="80"/>
      <x:c r="AS20" s="80"/>
      <x:c r="AT20" s="80"/>
      <x:c r="AU20" s="80"/>
      <x:c r="AV20" s="80"/>
      <x:c r="AW20" s="80"/>
      <x:c r="AX20" s="80"/>
      <x:c r="AY20" s="80"/>
      <x:c r="AZ20" s="80"/>
    </x:row>
    <x:row r="21">
      <x:c r="A21" s="80" t="str">
        <x:v>Тапочки</x:v>
      </x:c>
      <x:c r="B21" s="98" t="n">
        <x:f>'PnL_36M'!B$10*'Assumptions'!$H$43*(1+'Assumptions'!$B$8)^0</x:f>
        <x:v>5167.638000000001</x:v>
      </x:c>
      <x:c r="C21" s="98" t="n">
        <x:f>'PnL_36M'!C$10*'Assumptions'!$H$43*(1+'Assumptions'!$B$8)^0</x:f>
        <x:v>5908.518</x:v>
      </x:c>
      <x:c r="D21" s="98" t="n">
        <x:f>'PnL_36M'!D$10*'Assumptions'!$H$43*(1+'Assumptions'!$B$8)^0</x:f>
        <x:v>7655.759999999999</x:v>
      </x:c>
      <x:c r="E21" s="98" t="n">
        <x:f>'PnL_36M'!E$10*'Assumptions'!$H$43*(1+'Assumptions'!$B$8)^0</x:f>
        <x:v>8705.34</x:v>
      </x:c>
      <x:c r="F21" s="98" t="n">
        <x:f>'PnL_36M'!F$10*'Assumptions'!$H$43*(1+'Assumptions'!$B$8)^0</x:f>
        <x:v>10526.669999999998</x:v>
      </x:c>
      <x:c r="G21" s="98" t="n">
        <x:f>'PnL_36M'!G$10*'Assumptions'!$H$43*(1+'Assumptions'!$B$8)^0</x:f>
        <x:v>12409.740000000002</x:v>
      </x:c>
      <x:c r="H21" s="98" t="n">
        <x:f>'PnL_36M'!H$10*'Assumptions'!$H$43*(1+'Assumptions'!$B$8)^0</x:f>
        <x:v>13971.761999999999</x:v>
      </x:c>
      <x:c r="I21" s="98" t="n">
        <x:f>'PnL_36M'!I$10*'Assumptions'!$H$43*(1+'Assumptions'!$B$8)^0</x:f>
        <x:v>13206.186</x:v>
      </x:c>
      <x:c r="J21" s="98" t="n">
        <x:f>'PnL_36M'!J$10*'Assumptions'!$H$43*(1+'Assumptions'!$B$8)^0</x:f>
        <x:v>11298.42</x:v>
      </x:c>
      <x:c r="K21" s="98" t="n">
        <x:f>'PnL_36M'!K$10*'Assumptions'!$H$43*(1+'Assumptions'!$B$8)^0</x:f>
        <x:v>10526.670000000002</x:v>
      </x:c>
      <x:c r="L21" s="98" t="n">
        <x:f>'PnL_36M'!L$10*'Assumptions'!$H$43*(1+'Assumptions'!$B$8)^0</x:f>
        <x:v>9075.779999999999</x:v>
      </x:c>
      <x:c r="M21" s="98" t="n">
        <x:f>'PnL_36M'!M$10*'Assumptions'!$H$43*(1+'Assumptions'!$B$8)^0</x:f>
        <x:v>12057.821999999998</x:v>
      </x:c>
      <x:c r="N21" s="98" t="n">
        <x:f>'PnL_36M'!N$10*'Assumptions'!$H$43*(1+'Assumptions'!$B$8)^1</x:f>
        <x:v>9028.054979999999</x:v>
      </x:c>
      <x:c r="O21" s="98" t="n">
        <x:f>'PnL_36M'!O$10*'Assumptions'!$H$43*(1+'Assumptions'!$B$8)^1</x:f>
        <x:v>8704.1052</x:v>
      </x:c>
      <x:c r="P21" s="98" t="n">
        <x:f>'PnL_36M'!P$10*'Assumptions'!$H$43*(1+'Assumptions'!$B$8)^1</x:f>
        <x:v>10448.198460000001</x:v>
      </x:c>
      <x:c r="Q21" s="98" t="n">
        <x:f>'PnL_36M'!Q$10*'Assumptions'!$H$43*(1+'Assumptions'!$B$8)^1</x:f>
        <x:v>10896.492600000001</x:v>
      </x:c>
      <x:c r="R21" s="98" t="n">
        <x:f>'PnL_36M'!R$10*'Assumptions'!$H$43*(1+'Assumptions'!$B$8)^1</x:f>
        <x:v>12274.09722</x:v>
      </x:c>
      <x:c r="S21" s="98" t="n">
        <x:f>'PnL_36M'!S$10*'Assumptions'!$H$43*(1+'Assumptions'!$B$8)^1</x:f>
        <x:v>13645.1574</x:v>
      </x:c>
      <x:c r="T21" s="98" t="n">
        <x:f>'PnL_36M'!T$10*'Assumptions'!$H$43*(1+'Assumptions'!$B$8)^1</x:f>
        <x:v>15317.26182</x:v>
      </x:c>
      <x:c r="U21" s="98" t="n">
        <x:f>'PnL_36M'!U$10*'Assumptions'!$H$43*(1+'Assumptions'!$B$8)^1</x:f>
        <x:v>14505.75126</x:v>
      </x:c>
      <x:c r="V21" s="98" t="n">
        <x:f>'PnL_36M'!V$10*'Assumptions'!$H$43*(1+'Assumptions'!$B$8)^1</x:f>
        <x:v>12467.1582</x:v>
      </x:c>
      <x:c r="W21" s="98" t="n">
        <x:f>'PnL_36M'!W$10*'Assumptions'!$H$43*(1+'Assumptions'!$B$8)^1</x:f>
        <x:v>11665.464300000003</x:v>
      </x:c>
      <x:c r="X21" s="98" t="n">
        <x:f>'PnL_36M'!X$10*'Assumptions'!$H$43*(1+'Assumptions'!$B$8)^1</x:f>
        <x:v>10111.159800000001</x:v>
      </x:c>
      <x:c r="Y21" s="98" t="n">
        <x:f>'PnL_36M'!Y$10*'Assumptions'!$H$43*(1+'Assumptions'!$B$8)^1</x:f>
        <x:v>13288.48542</x:v>
      </x:c>
      <x:c r="Z21" s="98" t="n">
        <x:f>'PnL_36M'!Z$10*'Assumptions'!$H$43*(1+'Assumptions'!$B$8)^2</x:f>
        <x:v>9999.8388756</x:v>
      </x:c>
      <x:c r="AA21" s="98" t="n">
        <x:f>'PnL_36M'!AA$10*'Assumptions'!$H$43*(1+'Assumptions'!$B$8)^2</x:f>
        <x:v>9614.8294704</x:v>
      </x:c>
      <x:c r="AB21" s="98" t="n">
        <x:f>'PnL_36M'!AB$10*'Assumptions'!$H$43*(1+'Assumptions'!$B$8)^2</x:f>
        <x:v>11505.1909644</x:v>
      </x:c>
      <x:c r="AC21" s="98" t="n">
        <x:f>'PnL_36M'!AC$10*'Assumptions'!$H$43*(1+'Assumptions'!$B$8)^2</x:f>
        <x:v>11966.508540000003</x:v>
      </x:c>
      <x:c r="AD21" s="98" t="n">
        <x:f>'PnL_36M'!AD$10*'Assumptions'!$H$43*(1+'Assumptions'!$B$8)^2</x:f>
        <x:v>13440.643650000002</x:v>
      </x:c>
      <x:c r="AE21" s="98" t="n">
        <x:f>'PnL_36M'!AE$10*'Assumptions'!$H$43*(1+'Assumptions'!$B$8)^2</x:f>
        <x:v>14880.093228000003</x:v>
      </x:c>
      <x:c r="AF21" s="98" t="n">
        <x:f>'PnL_36M'!AF$10*'Assumptions'!$H$43*(1+'Assumptions'!$B$8)^2</x:f>
        <x:v>16666.398126000004</x:v>
      </x:c>
      <x:c r="AG21" s="98" t="n">
        <x:f>'PnL_36M'!AG$10*'Assumptions'!$H$43*(1+'Assumptions'!$B$8)^2</x:f>
        <x:v>15806.196932400004</x:v>
      </x:c>
      <x:c r="AH21" s="98" t="n">
        <x:f>'PnL_36M'!AH$10*'Assumptions'!$H$43*(1+'Assumptions'!$B$8)^2</x:f>
        <x:v>13631.414076000005</x:v>
      </x:c>
      <x:c r="AI21" s="98" t="n">
        <x:f>'PnL_36M'!AI$10*'Assumptions'!$H$43*(1+'Assumptions'!$B$8)^2</x:f>
        <x:v>12795.492754800003</x:v>
      </x:c>
      <x:c r="AJ21" s="98" t="n">
        <x:f>'PnL_36M'!AJ$10*'Assumptions'!$H$43*(1+'Assumptions'!$B$8)^2</x:f>
        <x:v>11134.055772000002</x:v>
      </x:c>
      <x:c r="AK21" s="98" t="n">
        <x:f>'PnL_36M'!AK$10*'Assumptions'!$H$43*(1+'Assumptions'!$B$8)^2</x:f>
        <x:v>14515.895142000003</x:v>
      </x:c>
      <x:c r="AL21" s="80"/>
      <x:c r="AM21" s="80"/>
      <x:c r="AN21" s="80"/>
      <x:c r="AO21" s="80"/>
      <x:c r="AP21" s="80"/>
      <x:c r="AQ21" s="80"/>
      <x:c r="AR21" s="80"/>
      <x:c r="AS21" s="80"/>
      <x:c r="AT21" s="80"/>
      <x:c r="AU21" s="80"/>
      <x:c r="AV21" s="80"/>
      <x:c r="AW21" s="80"/>
      <x:c r="AX21" s="80"/>
      <x:c r="AY21" s="80"/>
      <x:c r="AZ21" s="80"/>
    </x:row>
    <x:row r="22">
      <x:c r="A22" s="80" t="str">
        <x:v>Прочие гостевые расходники</x:v>
      </x:c>
      <x:c r="B22" s="98" t="n">
        <x:f>'PnL_36M'!B$10*'Assumptions'!$H$44*(1+'Assumptions'!$B$8)^0</x:f>
        <x:v>7382.340000000001</x:v>
      </x:c>
      <x:c r="C22" s="98" t="n">
        <x:f>'PnL_36M'!C$10*'Assumptions'!$H$44*(1+'Assumptions'!$B$8)^0</x:f>
        <x:v>8440.74</x:v>
      </x:c>
      <x:c r="D22" s="98" t="n">
        <x:f>'PnL_36M'!D$10*'Assumptions'!$H$44*(1+'Assumptions'!$B$8)^0</x:f>
        <x:v>10936.8</x:v>
      </x:c>
      <x:c r="E22" s="98" t="n">
        <x:f>'PnL_36M'!E$10*'Assumptions'!$H$44*(1+'Assumptions'!$B$8)^0</x:f>
        <x:v>12436.2</x:v>
      </x:c>
      <x:c r="F22" s="98" t="n">
        <x:f>'PnL_36M'!F$10*'Assumptions'!$H$44*(1+'Assumptions'!$B$8)^0</x:f>
        <x:v>15038.099999999997</x:v>
      </x:c>
      <x:c r="G22" s="98" t="n">
        <x:f>'PnL_36M'!G$10*'Assumptions'!$H$44*(1+'Assumptions'!$B$8)^0</x:f>
        <x:v>17728.2</x:v>
      </x:c>
      <x:c r="H22" s="98" t="n">
        <x:f>'PnL_36M'!H$10*'Assumptions'!$H$44*(1+'Assumptions'!$B$8)^0</x:f>
        <x:v>19959.66</x:v>
      </x:c>
      <x:c r="I22" s="98" t="n">
        <x:f>'PnL_36M'!I$10*'Assumptions'!$H$44*(1+'Assumptions'!$B$8)^0</x:f>
        <x:v>18865.98</x:v>
      </x:c>
      <x:c r="J22" s="98" t="n">
        <x:f>'PnL_36M'!J$10*'Assumptions'!$H$44*(1+'Assumptions'!$B$8)^0</x:f>
        <x:v>16140.6</x:v>
      </x:c>
      <x:c r="K22" s="98" t="n">
        <x:f>'PnL_36M'!K$10*'Assumptions'!$H$44*(1+'Assumptions'!$B$8)^0</x:f>
        <x:v>15038.100000000002</x:v>
      </x:c>
      <x:c r="L22" s="98" t="n">
        <x:f>'PnL_36M'!L$10*'Assumptions'!$H$44*(1+'Assumptions'!$B$8)^0</x:f>
        <x:v>12965.4</x:v>
      </x:c>
      <x:c r="M22" s="98" t="n">
        <x:f>'PnL_36M'!M$10*'Assumptions'!$H$44*(1+'Assumptions'!$B$8)^0</x:f>
        <x:v>17225.46</x:v>
      </x:c>
      <x:c r="N22" s="98" t="n">
        <x:f>'PnL_36M'!N$10*'Assumptions'!$H$44*(1+'Assumptions'!$B$8)^1</x:f>
        <x:v>12897.221399999999</x:v>
      </x:c>
      <x:c r="O22" s="98" t="n">
        <x:f>'PnL_36M'!O$10*'Assumptions'!$H$44*(1+'Assumptions'!$B$8)^1</x:f>
        <x:v>12434.436000000002</x:v>
      </x:c>
      <x:c r="P22" s="98" t="n">
        <x:f>'PnL_36M'!P$10*'Assumptions'!$H$44*(1+'Assumptions'!$B$8)^1</x:f>
        <x:v>14925.997800000001</x:v>
      </x:c>
      <x:c r="Q22" s="98" t="n">
        <x:f>'PnL_36M'!Q$10*'Assumptions'!$H$44*(1+'Assumptions'!$B$8)^1</x:f>
        <x:v>15566.418000000001</x:v>
      </x:c>
      <x:c r="R22" s="98" t="n">
        <x:f>'PnL_36M'!R$10*'Assumptions'!$H$44*(1+'Assumptions'!$B$8)^1</x:f>
        <x:v>17534.424600000002</x:v>
      </x:c>
      <x:c r="S22" s="98" t="n">
        <x:f>'PnL_36M'!S$10*'Assumptions'!$H$44*(1+'Assumptions'!$B$8)^1</x:f>
        <x:v>19493.082000000002</x:v>
      </x:c>
      <x:c r="T22" s="98" t="n">
        <x:f>'PnL_36M'!T$10*'Assumptions'!$H$44*(1+'Assumptions'!$B$8)^1</x:f>
        <x:v>21881.8026</x:v>
      </x:c>
      <x:c r="U22" s="98" t="n">
        <x:f>'PnL_36M'!U$10*'Assumptions'!$H$44*(1+'Assumptions'!$B$8)^1</x:f>
        <x:v>20722.5018</x:v>
      </x:c>
      <x:c r="V22" s="98" t="n">
        <x:f>'PnL_36M'!V$10*'Assumptions'!$H$44*(1+'Assumptions'!$B$8)^1</x:f>
        <x:v>17810.226</x:v>
      </x:c>
      <x:c r="W22" s="98" t="n">
        <x:f>'PnL_36M'!W$10*'Assumptions'!$H$44*(1+'Assumptions'!$B$8)^1</x:f>
        <x:v>16664.949000000004</x:v>
      </x:c>
      <x:c r="X22" s="98" t="n">
        <x:f>'PnL_36M'!X$10*'Assumptions'!$H$44*(1+'Assumptions'!$B$8)^1</x:f>
        <x:v>14444.514000000003</x:v>
      </x:c>
      <x:c r="Y22" s="98" t="n">
        <x:f>'PnL_36M'!Y$10*'Assumptions'!$H$44*(1+'Assumptions'!$B$8)^1</x:f>
        <x:v>18983.550600000002</x:v>
      </x:c>
      <x:c r="Z22" s="98" t="n">
        <x:f>'PnL_36M'!Z$10*'Assumptions'!$H$44*(1+'Assumptions'!$B$8)^2</x:f>
        <x:v>14285.484108</x:v>
      </x:c>
      <x:c r="AA22" s="98" t="n">
        <x:f>'PnL_36M'!AA$10*'Assumptions'!$H$44*(1+'Assumptions'!$B$8)^2</x:f>
        <x:v>13735.470672</x:v>
      </x:c>
      <x:c r="AB22" s="98" t="n">
        <x:f>'PnL_36M'!AB$10*'Assumptions'!$H$44*(1+'Assumptions'!$B$8)^2</x:f>
        <x:v>16435.987092000003</x:v>
      </x:c>
      <x:c r="AC22" s="98" t="n">
        <x:f>'PnL_36M'!AC$10*'Assumptions'!$H$44*(1+'Assumptions'!$B$8)^2</x:f>
        <x:v>17095.012200000005</x:v>
      </x:c>
      <x:c r="AD22" s="98" t="n">
        <x:f>'PnL_36M'!AD$10*'Assumptions'!$H$44*(1+'Assumptions'!$B$8)^2</x:f>
        <x:v>19200.919500000004</x:v>
      </x:c>
      <x:c r="AE22" s="98" t="n">
        <x:f>'PnL_36M'!AE$10*'Assumptions'!$H$44*(1+'Assumptions'!$B$8)^2</x:f>
        <x:v>21257.276040000004</x:v>
      </x:c>
      <x:c r="AF22" s="98" t="n">
        <x:f>'PnL_36M'!AF$10*'Assumptions'!$H$44*(1+'Assumptions'!$B$8)^2</x:f>
        <x:v>23809.140180000006</x:v>
      </x:c>
      <x:c r="AG22" s="98" t="n">
        <x:f>'PnL_36M'!AG$10*'Assumptions'!$H$44*(1+'Assumptions'!$B$8)^2</x:f>
        <x:v>22580.281332000006</x:v>
      </x:c>
      <x:c r="AH22" s="98" t="n">
        <x:f>'PnL_36M'!AH$10*'Assumptions'!$H$44*(1+'Assumptions'!$B$8)^2</x:f>
        <x:v>19473.448680000005</x:v>
      </x:c>
      <x:c r="AI22" s="98" t="n">
        <x:f>'PnL_36M'!AI$10*'Assumptions'!$H$44*(1+'Assumptions'!$B$8)^2</x:f>
        <x:v>18279.275364000005</x:v>
      </x:c>
      <x:c r="AJ22" s="98" t="n">
        <x:f>'PnL_36M'!AJ$10*'Assumptions'!$H$44*(1+'Assumptions'!$B$8)^2</x:f>
        <x:v>15905.793960000003</x:v>
      </x:c>
      <x:c r="AK22" s="98" t="n">
        <x:f>'PnL_36M'!AK$10*'Assumptions'!$H$44*(1+'Assumptions'!$B$8)^2</x:f>
        <x:v>20736.993060000004</x:v>
      </x:c>
      <x:c r="AL22" s="80"/>
      <x:c r="AM22" s="80"/>
      <x:c r="AN22" s="80"/>
      <x:c r="AO22" s="80"/>
      <x:c r="AP22" s="80"/>
      <x:c r="AQ22" s="80"/>
      <x:c r="AR22" s="80"/>
      <x:c r="AS22" s="80"/>
      <x:c r="AT22" s="80"/>
      <x:c r="AU22" s="80"/>
      <x:c r="AV22" s="80"/>
      <x:c r="AW22" s="80"/>
      <x:c r="AX22" s="80"/>
      <x:c r="AY22" s="80"/>
      <x:c r="AZ22" s="80"/>
    </x:row>
    <x:row r="23">
      <x:c r="A23" s="80" t="str">
        <x:v>Дрова для бань и чанов</x:v>
      </x:c>
      <x:c r="B23" s="98" t="n">
        <x:f>'PnL_36M'!B$15*'Assumptions'!$H$72+'PnL_36M'!B$16*'Assumptions'!$H$73</x:f>
        <x:v>30561.238794545454</x:v>
      </x:c>
      <x:c r="C23" s="98" t="n">
        <x:f>'PnL_36M'!C$15*'Assumptions'!$H$72+'PnL_36M'!C$16*'Assumptions'!$H$73</x:f>
        <x:v>35132.60454327272</x:v>
      </x:c>
      <x:c r="D23" s="98" t="n">
        <x:f>'PnL_36M'!D$15*'Assumptions'!$H$72+'PnL_36M'!D$16*'Assumptions'!$H$73</x:f>
        <x:v>45715.564112909095</x:v>
      </x:c>
      <x:c r="E23" s="98" t="n">
        <x:f>'PnL_36M'!E$15*'Assumptions'!$H$72+'PnL_36M'!E$16*'Assumptions'!$H$73</x:f>
        <x:v>52137.66332727273</x:v>
      </x:c>
      <x:c r="F23" s="98" t="n">
        <x:f>'PnL_36M'!F$15*'Assumptions'!$H$72+'PnL_36M'!F$16*'Assumptions'!$H$73</x:f>
        <x:v>63201.324095636344</x:v>
      </x:c>
      <x:c r="G23" s="98" t="n">
        <x:f>'PnL_36M'!G$15*'Assumptions'!$H$72+'PnL_36M'!G$16*'Assumptions'!$H$73</x:f>
        <x:v>74699.93427272727</x:v>
      </x:c>
      <x:c r="H23" s="98" t="n">
        <x:f>'PnL_36M'!H$15*'Assumptions'!$H$72+'PnL_36M'!H$16*'Assumptions'!$H$73</x:f>
        <x:v>84184.2360749091</x:v>
      </x:c>
      <x:c r="I23" s="98" t="n">
        <x:f>'PnL_36M'!I$15*'Assumptions'!$H$72+'PnL_36M'!I$16*'Assumptions'!$H$73</x:f>
        <x:v>79521.36674618181</x:v>
      </x:c>
      <x:c r="J23" s="98" t="n">
        <x:f>'PnL_36M'!J$15*'Assumptions'!$H$72+'PnL_36M'!J$16*'Assumptions'!$H$73</x:f>
        <x:v>67931.25298909089</x:v>
      </x:c>
      <x:c r="K23" s="98" t="n">
        <x:f>'PnL_36M'!K$15*'Assumptions'!$H$72+'PnL_36M'!K$16*'Assumptions'!$H$73</x:f>
        <x:v>63201.32409563636</x:v>
      </x:c>
      <x:c r="L23" s="98" t="n">
        <x:f>'PnL_36M'!L$15*'Assumptions'!$H$72+'PnL_36M'!L$16*'Assumptions'!$H$73</x:f>
        <x:v>54393.890421818185</x:v>
      </x:c>
      <x:c r="M23" s="98" t="n">
        <x:f>'PnL_36M'!M$15*'Assumptions'!$H$72+'PnL_36M'!M$16*'Assumptions'!$H$73</x:f>
        <x:v>72527.06275309091</x:v>
      </x:c>
      <x:c r="N23" s="98" t="n">
        <x:f>'PnL_36M'!N$15*'Assumptions'!$H$72+'PnL_36M'!N$16*'Assumptions'!$H$73</x:f>
        <x:v>50961.29210772727</x:v>
      </x:c>
      <x:c r="O23" s="98" t="n">
        <x:f>'PnL_36M'!O$15*'Assumptions'!$H$72+'PnL_36M'!O$16*'Assumptions'!$H$73</x:f>
        <x:v>49188.27209418181</x:v>
      </x:c>
      <x:c r="P23" s="98" t="n">
        <x:f>'PnL_36M'!P$15*'Assumptions'!$H$72+'PnL_36M'!P$16*'Assumptions'!$H$73</x:f>
        <x:v>59121.313433</x:v>
      </x:c>
      <x:c r="Q23" s="98" t="n">
        <x:f>'PnL_36M'!Q$15*'Assumptions'!$H$72+'PnL_36M'!Q$16*'Assumptions'!$H$73</x:f>
        <x:v>61726.62847909091</x:v>
      </x:c>
      <x:c r="R23" s="98" t="n">
        <x:f>'PnL_36M'!R$15*'Assumptions'!$H$72+'PnL_36M'!R$16*'Assumptions'!$H$73</x:f>
        <x:v>69612.76942263637</x:v>
      </x:c>
      <x:c r="S23" s="98" t="n">
        <x:f>'PnL_36M'!S$15*'Assumptions'!$H$72+'PnL_36M'!S$16*'Assumptions'!$H$73</x:f>
        <x:v>77520.21814090908</x:v>
      </x:c>
      <x:c r="T23" s="98" t="n">
        <x:f>'PnL_36M'!T$15*'Assumptions'!$H$72+'PnL_36M'!T$16*'Assumptions'!$H$73</x:f>
        <x:v>87098.52940536363</x:v>
      </x:c>
      <x:c r="U23" s="98" t="n">
        <x:f>'PnL_36M'!U$15*'Assumptions'!$H$72+'PnL_36M'!U$16*'Assumptions'!$H$73</x:f>
        <x:v>82435.66007663634</x:v>
      </x:c>
      <x:c r="V23" s="98" t="n">
        <x:f>'PnL_36M'!V$15*'Assumptions'!$H$72+'PnL_36M'!V$16*'Assumptions'!$H$73</x:f>
        <x:v>70751.53685727272</x:v>
      </x:c>
      <x:c r="W23" s="98" t="n">
        <x:f>'PnL_36M'!W$15*'Assumptions'!$H$72+'PnL_36M'!W$16*'Assumptions'!$H$73</x:f>
        <x:v>66115.61742609092</x:v>
      </x:c>
      <x:c r="X23" s="98" t="n">
        <x:f>'PnL_36M'!X$15*'Assumptions'!$H$72+'PnL_36M'!X$16*'Assumptions'!$H$73</x:f>
        <x:v>57214.174289999995</x:v>
      </x:c>
      <x:c r="Y23" s="98" t="n">
        <x:f>'PnL_36M'!Y$15*'Assumptions'!$H$72+'PnL_36M'!Y$16*'Assumptions'!$H$73</x:f>
        <x:v>75441.35608354544</x:v>
      </x:c>
      <x:c r="Z23" s="98" t="n">
        <x:f>'PnL_36M'!Z$15*'Assumptions'!$H$72+'PnL_36M'!Z$16*'Assumptions'!$H$73</x:f>
        <x:v>53292.72677209091</x:v>
      </x:c>
      <x:c r="AA23" s="98" t="n">
        <x:f>'PnL_36M'!AA$15*'Assumptions'!$H$72+'PnL_36M'!AA$16*'Assumptions'!$H$73</x:f>
        <x:v>51294.0840490909</x:v>
      </x:c>
      <x:c r="AB23" s="98" t="n">
        <x:f>'PnL_36M'!AB$15*'Assumptions'!$H$72+'PnL_36M'!AB$16*'Assumptions'!$H$73</x:f>
        <x:v>61452.748097363634</x:v>
      </x:c>
      <x:c r="AC23" s="98" t="n">
        <x:f>'PnL_36M'!AC$15*'Assumptions'!$H$72+'PnL_36M'!AC$16*'Assumptions'!$H$73</x:f>
        <x:v>63982.85557363636</x:v>
      </x:c>
      <x:c r="AD23" s="98" t="n">
        <x:f>'PnL_36M'!AD$15*'Assumptions'!$H$72+'PnL_36M'!AD$16*'Assumptions'!$H$73</x:f>
        <x:v>71944.20408699999</x:v>
      </x:c>
      <x:c r="AE23" s="98" t="n">
        <x:f>'PnL_36M'!AE$15*'Assumptions'!$H$72+'PnL_36M'!AE$16*'Assumptions'!$H$73</x:f>
        <x:v>79776.44523545454</x:v>
      </x:c>
      <x:c r="AF23" s="98" t="n">
        <x:f>'PnL_36M'!AF$15*'Assumptions'!$H$72+'PnL_36M'!AF$16*'Assumptions'!$H$73</x:f>
        <x:v>89429.96406972726</x:v>
      </x:c>
      <x:c r="AG23" s="98" t="n">
        <x:f>'PnL_36M'!AG$15*'Assumptions'!$H$72+'PnL_36M'!AG$16*'Assumptions'!$H$73</x:f>
        <x:v>84767.09474099998</x:v>
      </x:c>
      <x:c r="AH23" s="98" t="n">
        <x:f>'PnL_36M'!AH$15*'Assumptions'!$H$72+'PnL_36M'!AH$16*'Assumptions'!$H$73</x:f>
        <x:v>73007.76395181817</x:v>
      </x:c>
      <x:c r="AI23" s="98" t="n">
        <x:f>'PnL_36M'!AI$15*'Assumptions'!$H$72+'PnL_36M'!AI$16*'Assumptions'!$H$73</x:f>
        <x:v>68447.05209045456</x:v>
      </x:c>
      <x:c r="AJ23" s="98" t="n">
        <x:f>'PnL_36M'!AJ$15*'Assumptions'!$H$72+'PnL_36M'!AJ$16*'Assumptions'!$H$73</x:f>
        <x:v>59470.40138454546</x:v>
      </x:c>
      <x:c r="AK23" s="98" t="n">
        <x:f>'PnL_36M'!AK$15*'Assumptions'!$H$72+'PnL_36M'!AK$16*'Assumptions'!$H$73</x:f>
        <x:v>77772.79074790911</x:v>
      </x:c>
      <x:c r="AL23" s="80"/>
      <x:c r="AM23" s="80"/>
      <x:c r="AN23" s="80"/>
      <x:c r="AO23" s="80"/>
      <x:c r="AP23" s="80"/>
      <x:c r="AQ23" s="80"/>
      <x:c r="AR23" s="80"/>
      <x:c r="AS23" s="80"/>
      <x:c r="AT23" s="80"/>
      <x:c r="AU23" s="80"/>
      <x:c r="AV23" s="80"/>
      <x:c r="AW23" s="80"/>
      <x:c r="AX23" s="80"/>
      <x:c r="AY23" s="80"/>
      <x:c r="AZ23" s="80"/>
    </x:row>
    <x:row r="24">
      <x:c r="A24" s="80" t="str">
        <x:v>Вода и химия SPA</x:v>
      </x:c>
      <x:c r="B24" s="98" t="n">
        <x:f>'PnL_36M'!B$15*'Assumptions'!$H$74+'PnL_36M'!B$16*'Assumptions'!$H$75</x:f>
        <x:v>8860.499889818182</x:v>
      </x:c>
      <x:c r="C24" s="98" t="n">
        <x:f>'PnL_36M'!C$15*'Assumptions'!$H$74+'PnL_36M'!C$16*'Assumptions'!$H$75</x:f>
        <x:v>10188.17625381818</x:v>
      </x:c>
      <x:c r="D24" s="98" t="n">
        <x:f>'PnL_36M'!D$15*'Assumptions'!$H$74+'PnL_36M'!D$16*'Assumptions'!$H$75</x:f>
        <x:v>13259.503176181817</x:v>
      </x:c>
      <x:c r="E24" s="98" t="n">
        <x:f>'PnL_36M'!E$15*'Assumptions'!$H$74+'PnL_36M'!E$16*'Assumptions'!$H$75</x:f>
        <x:v>15124.061858181816</x:v>
      </x:c>
      <x:c r="F24" s="98" t="n">
        <x:f>'PnL_36M'!F$15*'Assumptions'!$H$74+'PnL_36M'!F$16*'Assumptions'!$H$75</x:f>
        <x:v>18335.276198909087</x:v>
      </x:c>
      <x:c r="G24" s="98" t="n">
        <x:f>'PnL_36M'!G$15*'Assumptions'!$H$74+'PnL_36M'!G$16*'Assumptions'!$H$75</x:f>
        <x:v>21673.446403636364</x:v>
      </x:c>
      <x:c r="H24" s="98" t="n">
        <x:f>'PnL_36M'!H$15*'Assumptions'!$H$74+'PnL_36M'!H$16*'Assumptions'!$H$75</x:f>
        <x:v>24426.20382618182</x:v>
      </x:c>
      <x:c r="I24" s="98" t="n">
        <x:f>'PnL_36M'!I$15*'Assumptions'!$H$74+'PnL_36M'!I$16*'Assumptions'!$H$75</x:f>
        <x:v>23072.66435345454</x:v>
      </x:c>
      <x:c r="J24" s="98" t="n">
        <x:f>'PnL_36M'!J$15*'Assumptions'!$H$74+'PnL_36M'!J$16*'Assumptions'!$H$75</x:f>
        <x:v>19708.631039999997</x:v>
      </x:c>
      <x:c r="K24" s="98" t="n">
        <x:f>'PnL_36M'!K$15*'Assumptions'!$H$74+'PnL_36M'!K$16*'Assumptions'!$H$75</x:f>
        <x:v>18335.27619890909</x:v>
      </x:c>
      <x:c r="L24" s="98" t="n">
        <x:f>'PnL_36M'!L$15*'Assumptions'!$H$74+'PnL_36M'!L$16*'Assumptions'!$H$75</x:f>
        <x:v>15779.000312727274</x:v>
      </x:c>
      <x:c r="M24" s="98" t="n">
        <x:f>'PnL_36M'!M$15*'Assumptions'!$H$74+'PnL_36M'!M$16*'Assumptions'!$H$75</x:f>
        <x:v>21042.35514436364</x:v>
      </x:c>
      <x:c r="N24" s="98" t="n">
        <x:f>'PnL_36M'!N$15*'Assumptions'!$H$74+'PnL_36M'!N$16*'Assumptions'!$H$75</x:f>
        <x:v>14782.235083</x:v>
      </x:c>
      <x:c r="O24" s="98" t="n">
        <x:f>'PnL_36M'!O$15*'Assumptions'!$H$74+'PnL_36M'!O$16*'Assumptions'!$H$75</x:f>
        <x:v>14268.610040363634</x:v>
      </x:c>
      <x:c r="P24" s="98" t="n">
        <x:f>'PnL_36M'!P$15*'Assumptions'!$H$74+'PnL_36M'!P$16*'Assumptions'!$H$75</x:f>
        <x:v>17150.929160272724</x:v>
      </x:c>
      <x:c r="Q24" s="98" t="n">
        <x:f>'PnL_36M'!Q$15*'Assumptions'!$H$74+'PnL_36M'!Q$16*'Assumptions'!$H$75</x:f>
        <x:v>17907.55029</x:v>
      </x:c>
      <x:c r="R24" s="98" t="n">
        <x:f>'PnL_36M'!R$15*'Assumptions'!$H$74+'PnL_36M'!R$16*'Assumptions'!$H$75</x:f>
        <x:v>20196.39297390909</x:v>
      </x:c>
      <x:c r="S24" s="98" t="n">
        <x:f>'PnL_36M'!S$15*'Assumptions'!$H$74+'PnL_36M'!S$16*'Assumptions'!$H$75</x:f>
        <x:v>22492.11947181818</x:v>
      </x:c>
      <x:c r="T24" s="98" t="n">
        <x:f>'PnL_36M'!T$15*'Assumptions'!$H$74+'PnL_36M'!T$16*'Assumptions'!$H$75</x:f>
        <x:v>25272.16599663636</x:v>
      </x:c>
      <x:c r="U24" s="98" t="n">
        <x:f>'PnL_36M'!U$15*'Assumptions'!$H$74+'PnL_36M'!U$16*'Assumptions'!$H$75</x:f>
        <x:v>23918.626523909083</x:v>
      </x:c>
      <x:c r="V24" s="98" t="n">
        <x:f>'PnL_36M'!V$15*'Assumptions'!$H$74+'PnL_36M'!V$16*'Assumptions'!$H$75</x:f>
        <x:v>20527.304108181816</x:v>
      </x:c>
      <x:c r="W24" s="98" t="n">
        <x:f>'PnL_36M'!W$15*'Assumptions'!$H$74+'PnL_36M'!W$16*'Assumptions'!$H$75</x:f>
        <x:v>19181.238369363637</x:v>
      </x:c>
      <x:c r="X24" s="98" t="n">
        <x:f>'PnL_36M'!X$15*'Assumptions'!$H$74+'PnL_36M'!X$16*'Assumptions'!$H$75</x:f>
        <x:v>16597.67338090909</x:v>
      </x:c>
      <x:c r="Y24" s="98" t="n">
        <x:f>'PnL_36M'!Y$15*'Assumptions'!$H$74+'PnL_36M'!Y$16*'Assumptions'!$H$75</x:f>
        <x:v>21888.31731481818</x:v>
      </x:c>
      <x:c r="Z24" s="98" t="n">
        <x:f>'PnL_36M'!Z$15*'Assumptions'!$H$74+'PnL_36M'!Z$16*'Assumptions'!$H$75</x:f>
        <x:v>15459.004819363636</x:v>
      </x:c>
      <x:c r="AA24" s="98" t="n">
        <x:f>'PnL_36M'!AA$15*'Assumptions'!$H$74+'PnL_36M'!AA$16*'Assumptions'!$H$75</x:f>
        <x:v>14879.885931272724</x:v>
      </x:c>
      <x:c r="AB24" s="98" t="n">
        <x:f>'PnL_36M'!AB$15*'Assumptions'!$H$74+'PnL_36M'!AB$16*'Assumptions'!$H$75</x:f>
        <x:v>17827.698896636364</x:v>
      </x:c>
      <x:c r="AC24" s="98" t="n">
        <x:f>'PnL_36M'!AC$15*'Assumptions'!$H$74+'PnL_36M'!AC$16*'Assumptions'!$H$75</x:f>
        <x:v>18562.48874454545</x:v>
      </x:c>
      <x:c r="AD24" s="98" t="n">
        <x:f>'PnL_36M'!AD$15*'Assumptions'!$H$74+'PnL_36M'!AD$16*'Assumptions'!$H$75</x:f>
        <x:v>20873.162710272725</x:v>
      </x:c>
      <x:c r="AE24" s="98" t="n">
        <x:f>'PnL_36M'!AE$15*'Assumptions'!$H$74+'PnL_36M'!AE$16*'Assumptions'!$H$75</x:f>
        <x:v>23147.05792636364</x:v>
      </x:c>
      <x:c r="AF24" s="98" t="n">
        <x:f>'PnL_36M'!AF$15*'Assumptions'!$H$74+'PnL_36M'!AF$16*'Assumptions'!$H$75</x:f>
        <x:v>25948.935733</x:v>
      </x:c>
      <x:c r="AG24" s="98" t="n">
        <x:f>'PnL_36M'!AG$15*'Assumptions'!$H$74+'PnL_36M'!AG$16*'Assumptions'!$H$75</x:f>
        <x:v>24595.396260272722</x:v>
      </x:c>
      <x:c r="AH24" s="98" t="n">
        <x:f>'PnL_36M'!AH$15*'Assumptions'!$H$74+'PnL_36M'!AH$16*'Assumptions'!$H$75</x:f>
        <x:v>21182.242562727268</x:v>
      </x:c>
      <x:c r="AI24" s="98" t="n">
        <x:f>'PnL_36M'!AI$15*'Assumptions'!$H$74+'PnL_36M'!AI$16*'Assumptions'!$H$75</x:f>
        <x:v>19858.008105727273</x:v>
      </x:c>
      <x:c r="AJ24" s="98" t="n">
        <x:f>'PnL_36M'!AJ$15*'Assumptions'!$H$74+'PnL_36M'!AJ$16*'Assumptions'!$H$75</x:f>
        <x:v>17252.611835454547</x:v>
      </x:c>
      <x:c r="AK24" s="98" t="n">
        <x:f>'PnL_36M'!AK$15*'Assumptions'!$H$74+'PnL_36M'!AK$16*'Assumptions'!$H$75</x:f>
        <x:v>22565.08705118182</x:v>
      </x:c>
      <x:c r="AL24" s="80"/>
      <x:c r="AM24" s="80"/>
      <x:c r="AN24" s="80"/>
      <x:c r="AO24" s="80"/>
      <x:c r="AP24" s="80"/>
      <x:c r="AQ24" s="80"/>
      <x:c r="AR24" s="80"/>
      <x:c r="AS24" s="80"/>
      <x:c r="AT24" s="80"/>
      <x:c r="AU24" s="80"/>
      <x:c r="AV24" s="80"/>
      <x:c r="AW24" s="80"/>
      <x:c r="AX24" s="80"/>
      <x:c r="AY24" s="80"/>
      <x:c r="AZ24" s="80"/>
    </x:row>
    <x:row r="25">
      <x:c r="A25" s="80" t="str">
        <x:v>SPA-текстиль и уборка</x:v>
      </x:c>
      <x:c r="B25" s="98" t="n">
        <x:f>'PnL_36M'!B$15*'Assumptions'!$H$76+'PnL_36M'!B$16*'Assumptions'!$H$77</x:f>
        <x:v>10595.034611127274</x:v>
      </x:c>
      <x:c r="C25" s="98" t="n">
        <x:f>'PnL_36M'!C$15*'Assumptions'!$H$76+'PnL_36M'!C$16*'Assumptions'!$H$77</x:f>
        <x:v>12189.813802472725</x:v>
      </x:c>
      <x:c r="D25" s="98" t="n">
        <x:f>'PnL_36M'!D$15*'Assumptions'!$H$76+'PnL_36M'!D$16*'Assumptions'!$H$77</x:f>
        <x:v>15871.855955963636</x:v>
      </x:c>
      <x:c r="E25" s="98" t="n">
        <x:f>'PnL_36M'!E$15*'Assumptions'!$H$76+'PnL_36M'!E$16*'Assumptions'!$H$77</x:f>
        <x:v>18109.568995636364</x:v>
      </x:c>
      <x:c r="F25" s="98" t="n">
        <x:f>'PnL_36M'!F$15*'Assumptions'!$H$76+'PnL_36M'!F$16*'Assumptions'!$H$77</x:f>
        <x:v>21960.495969236355</x:v>
      </x:c>
      <x:c r="G25" s="98" t="n">
        <x:f>'PnL_36M'!G$15*'Assumptions'!$H$76+'PnL_36M'!G$16*'Assumptions'!$H$77</x:f>
        <x:v>25965.878690181817</x:v>
      </x:c>
      <x:c r="H25" s="98" t="n">
        <x:f>'PnL_36M'!H$15*'Assumptions'!$H$76+'PnL_36M'!H$16*'Assumptions'!$H$77</x:f>
        <x:v>29266.86398516364</x:v>
      </x:c>
      <x:c r="I25" s="98" t="n">
        <x:f>'PnL_36M'!I$15*'Assumptions'!$H$76+'PnL_36M'!I$16*'Assumptions'!$H$77</x:f>
        <x:v>27643.226648290904</x:v>
      </x:c>
      <x:c r="J25" s="98" t="n">
        <x:f>'PnL_36M'!J$15*'Assumptions'!$H$76+'PnL_36M'!J$16*'Assumptions'!$H$77</x:f>
        <x:v>23608.985781818177</x:v>
      </x:c>
      <x:c r="K25" s="98" t="n">
        <x:f>'PnL_36M'!K$15*'Assumptions'!$H$76+'PnL_36M'!K$16*'Assumptions'!$H$77</x:f>
        <x:v>21960.495969236363</x:v>
      </x:c>
      <x:c r="L25" s="98" t="n">
        <x:f>'PnL_36M'!L$15*'Assumptions'!$H$76+'PnL_36M'!L$16*'Assumptions'!$H$77</x:f>
        <x:v>18895.199965090913</x:v>
      </x:c>
      <x:c r="M25" s="98" t="n">
        <x:f>'PnL_36M'!M$15*'Assumptions'!$H$76+'PnL_36M'!M$16*'Assumptions'!$H$77</x:f>
        <x:v>25207.77064298182</x:v>
      </x:c>
      <x:c r="N25" s="98" t="n">
        <x:f>'PnL_36M'!N$15*'Assumptions'!$H$76+'PnL_36M'!N$16*'Assumptions'!$H$77</x:f>
        <x:v>17698.447959945453</x:v>
      </x:c>
      <x:c r="O25" s="98" t="n">
        <x:f>'PnL_36M'!O$15*'Assumptions'!$H$76+'PnL_36M'!O$16*'Assumptions'!$H$77</x:f>
        <x:v>17085.578288799996</x:v>
      </x:c>
      <x:c r="P25" s="98" t="n">
        <x:f>'PnL_36M'!P$15*'Assumptions'!$H$76+'PnL_36M'!P$16*'Assumptions'!$H$77</x:f>
        <x:v>20539.813299472728</x:v>
      </x:c>
      <x:c r="Q25" s="98" t="n">
        <x:f>'PnL_36M'!Q$15*'Assumptions'!$H$76+'PnL_36M'!Q$16*'Assumptions'!$H$77</x:f>
        <x:v>21448.50061581818</x:v>
      </x:c>
      <x:c r="R25" s="98" t="n">
        <x:f>'PnL_36M'!R$15*'Assumptions'!$H$76+'PnL_36M'!R$16*'Assumptions'!$H$77</x:f>
        <x:v>24192.997307436362</x:v>
      </x:c>
      <x:c r="S25" s="98" t="n">
        <x:f>'PnL_36M'!S$15*'Assumptions'!$H$76+'PnL_36M'!S$16*'Assumptions'!$H$77</x:f>
        <x:v>26947.917402</x:v>
      </x:c>
      <x:c r="T25" s="98" t="n">
        <x:f>'PnL_36M'!T$15*'Assumptions'!$H$76+'PnL_36M'!T$16*'Assumptions'!$H$77</x:f>
        <x:v>30281.637320709087</x:v>
      </x:c>
      <x:c r="U25" s="98" t="n">
        <x:f>'PnL_36M'!U$15*'Assumptions'!$H$76+'PnL_36M'!U$16*'Assumptions'!$H$77</x:f>
        <x:v>28657.999983836355</x:v>
      </x:c>
      <x:c r="V25" s="98" t="n">
        <x:f>'PnL_36M'!V$15*'Assumptions'!$H$76+'PnL_36M'!V$16*'Assumptions'!$H$77</x:f>
        <x:v>24591.02449363636</x:v>
      </x:c>
      <x:c r="W25" s="98" t="n">
        <x:f>'PnL_36M'!W$15*'Assumptions'!$H$76+'PnL_36M'!W$16*'Assumptions'!$H$77</x:f>
        <x:v>22975.269304781817</x:v>
      </x:c>
      <x:c r="X25" s="98" t="n">
        <x:f>'PnL_36M'!X$15*'Assumptions'!$H$76+'PnL_36M'!X$16*'Assumptions'!$H$77</x:f>
        <x:v>19877.23867690909</x:v>
      </x:c>
      <x:c r="Y25" s="98" t="n">
        <x:f>'PnL_36M'!Y$15*'Assumptions'!$H$76+'PnL_36M'!Y$16*'Assumptions'!$H$77</x:f>
        <x:v>26222.54397852727</x:v>
      </x:c>
      <x:c r="Z25" s="98" t="n">
        <x:f>'PnL_36M'!Z$15*'Assumptions'!$H$76+'PnL_36M'!Z$16*'Assumptions'!$H$77</x:f>
        <x:v>18510.266628381818</x:v>
      </x:c>
      <x:c r="AA25" s="98" t="n">
        <x:f>'PnL_36M'!AA$15*'Assumptions'!$H$76+'PnL_36M'!AA$16*'Assumptions'!$H$77</x:f>
        <x:v>17818.833860290906</x:v>
      </x:c>
      <x:c r="AB25" s="98" t="n">
        <x:f>'PnL_36M'!AB$15*'Assumptions'!$H$76+'PnL_36M'!AB$16*'Assumptions'!$H$77</x:f>
        <x:v>21351.63196790909</x:v>
      </x:c>
      <x:c r="AC25" s="98" t="n">
        <x:f>'PnL_36M'!AC$15*'Assumptions'!$H$76+'PnL_36M'!AC$16*'Assumptions'!$H$77</x:f>
        <x:v>22234.131585272728</x:v>
      </x:c>
      <x:c r="AD25" s="98" t="n">
        <x:f>'PnL_36M'!AD$15*'Assumptions'!$H$76+'PnL_36M'!AD$16*'Assumptions'!$H$77</x:f>
        <x:v>25004.815975872727</x:v>
      </x:c>
      <x:c r="AE25" s="98" t="n">
        <x:f>'PnL_36M'!AE$15*'Assumptions'!$H$76+'PnL_36M'!AE$16*'Assumptions'!$H$77</x:f>
        <x:v>27733.548371454548</x:v>
      </x:c>
      <x:c r="AF25" s="98" t="n">
        <x:f>'PnL_36M'!AF$15*'Assumptions'!$H$76+'PnL_36M'!AF$16*'Assumptions'!$H$77</x:f>
        <x:v>31093.455989145456</x:v>
      </x:c>
      <x:c r="AG25" s="98" t="n">
        <x:f>'PnL_36M'!AG$15*'Assumptions'!$H$76+'PnL_36M'!AG$16*'Assumptions'!$H$77</x:f>
        <x:v>29469.81865227272</x:v>
      </x:c>
      <x:c r="AH25" s="98" t="n">
        <x:f>'PnL_36M'!AH$15*'Assumptions'!$H$76+'PnL_36M'!AH$16*'Assumptions'!$H$77</x:f>
        <x:v>25376.655463090905</x:v>
      </x:c>
      <x:c r="AI25" s="98" t="n">
        <x:f>'PnL_36M'!AI$15*'Assumptions'!$H$76+'PnL_36M'!AI$16*'Assumptions'!$H$77</x:f>
        <x:v>23787.087973218182</x:v>
      </x:c>
      <x:c r="AJ25" s="98" t="n">
        <x:f>'PnL_36M'!AJ$15*'Assumptions'!$H$76+'PnL_36M'!AJ$16*'Assumptions'!$H$77</x:f>
        <x:v>20662.869646363637</x:v>
      </x:c>
      <x:c r="AK25" s="98" t="n">
        <x:f>'PnL_36M'!AK$15*'Assumptions'!$H$76+'PnL_36M'!AK$16*'Assumptions'!$H$77</x:f>
        <x:v>27034.362646963637</x:v>
      </x:c>
      <x:c r="AL25" s="80"/>
      <x:c r="AM25" s="80"/>
      <x:c r="AN25" s="80"/>
      <x:c r="AO25" s="80"/>
      <x:c r="AP25" s="80"/>
      <x:c r="AQ25" s="80"/>
      <x:c r="AR25" s="80"/>
      <x:c r="AS25" s="80"/>
      <x:c r="AT25" s="80"/>
      <x:c r="AU25" s="80"/>
      <x:c r="AV25" s="80"/>
      <x:c r="AW25" s="80"/>
      <x:c r="AX25" s="80"/>
      <x:c r="AY25" s="80"/>
      <x:c r="AZ25" s="80"/>
    </x:row>
    <x:row r="26">
      <x:c r="A26" s="80" t="str">
        <x:v>Food products</x:v>
      </x:c>
      <x:c r="B26" s="98" t="n">
        <x:f>'PnL_36M'!B$17*'Assumptions'!$H$68</x:f>
        <x:v>63329.42992727274</x:v>
      </x:c>
      <x:c r="C26" s="98" t="n">
        <x:f>'PnL_36M'!C$17*'Assumptions'!$H$68</x:f>
        <x:v>72594.32213090909</x:v>
      </x:c>
      <x:c r="D26" s="98" t="n">
        <x:f>'PnL_36M'!D$17*'Assumptions'!$H$68</x:f>
        <x:v>94250.79048</x:v>
      </x:c>
      <x:c r="E26" s="98" t="n">
        <x:f>'PnL_36M'!E$17*'Assumptions'!$H$68</x:f>
        <x:v>107323.31018181817</x:v>
      </x:c>
      <x:c r="F26" s="98" t="n">
        <x:f>'PnL_36M'!F$17*'Assumptions'!$H$68</x:f>
        <x:v>129929.28342545452</x:v>
      </x:c>
      <x:c r="G26" s="98" t="n">
        <x:f>'PnL_36M'!G$17*'Assumptions'!$H$68</x:f>
        <x:v>153360.07527272726</x:v>
      </x:c>
      <x:c r="H26" s="98" t="n">
        <x:f>'PnL_36M'!H$17*'Assumptions'!$H$68</x:f>
        <x:v>172743.47496</x:v>
      </x:c>
      <x:c r="I26" s="98" t="n">
        <x:f>'PnL_36M'!I$17*'Assumptions'!$H$68</x:f>
        <x:v>163229.21017454544</x:v>
      </x:c>
      <x:c r="J26" s="98" t="n">
        <x:f>'PnL_36M'!J$17*'Assumptions'!$H$68</x:f>
        <x:v>139549.04574545455</x:v>
      </x:c>
      <x:c r="K26" s="98" t="n">
        <x:f>'PnL_36M'!K$17*'Assumptions'!$H$68</x:f>
        <x:v>129929.28342545453</x:v>
      </x:c>
      <x:c r="L26" s="98" t="n">
        <x:f>'PnL_36M'!L$17*'Assumptions'!$H$68</x:f>
        <x:v>111926.98669090908</x:v>
      </x:c>
      <x:c r="M26" s="98" t="n">
        <x:f>'PnL_36M'!M$17*'Assumptions'!$H$68</x:f>
        <x:v>148957.81299636365</x:v>
      </x:c>
      <x:c r="N26" s="98" t="n">
        <x:f>'PnL_36M'!N$17*'Assumptions'!$H$68</x:f>
        <x:v>104954.33836363636</x:v>
      </x:c>
      <x:c r="O26" s="98" t="n">
        <x:f>'PnL_36M'!O$17*'Assumptions'!$H$68</x:f>
        <x:v>101242.6140218182</x:v>
      </x:c>
      <x:c r="P26" s="98" t="n">
        <x:f>'PnL_36M'!P$17*'Assumptions'!$H$68</x:f>
        <x:v>121604.30173818182</x:v>
      </x:c>
      <x:c r="Q26" s="98" t="n">
        <x:f>'PnL_36M'!Q$17*'Assumptions'!$H$68</x:f>
        <x:v>126888.93534545455</x:v>
      </x:c>
      <x:c r="R26" s="98" t="n">
        <x:f>'PnL_36M'!R$17*'Assumptions'!$H$68</x:f>
        <x:v>143011.39750545454</x:v>
      </x:c>
      <x:c r="S26" s="98" t="n">
        <x:f>'PnL_36M'!S$17*'Assumptions'!$H$68</x:f>
        <x:v>159114.6709090909</x:v>
      </x:c>
      <x:c r="T26" s="98" t="n">
        <x:f>'PnL_36M'!T$17*'Assumptions'!$H$68</x:f>
        <x:v>178689.89045090906</x:v>
      </x:c>
      <x:c r="U26" s="98" t="n">
        <x:f>'PnL_36M'!U$17*'Assumptions'!$H$68</x:f>
        <x:v>169175.62566545454</x:v>
      </x:c>
      <x:c r="V26" s="98" t="n">
        <x:f>'PnL_36M'!V$17*'Assumptions'!$H$68</x:f>
        <x:v>145303.64138181816</x:v>
      </x:c>
      <x:c r="W26" s="98" t="n">
        <x:f>'PnL_36M'!W$17*'Assumptions'!$H$68</x:f>
        <x:v>135875.69891636365</x:v>
      </x:c>
      <x:c r="X26" s="98" t="n">
        <x:f>'PnL_36M'!X$17*'Assumptions'!$H$68</x:f>
        <x:v>117681.58232727271</x:v>
      </x:c>
      <x:c r="Y26" s="98" t="n">
        <x:f>'PnL_36M'!Y$17*'Assumptions'!$H$68</x:f>
        <x:v>154904.22848727272</x:v>
      </x:c>
      <x:c r="Z26" s="98" t="n">
        <x:f>'PnL_36M'!Z$17*'Assumptions'!$H$68</x:f>
        <x:v>109711.47075636362</x:v>
      </x:c>
      <x:c r="AA26" s="98" t="n">
        <x:f>'PnL_36M'!AA$17*'Assumptions'!$H$68</x:f>
        <x:v>105539.37876363634</x:v>
      </x:c>
      <x:c r="AB26" s="98" t="n">
        <x:f>'PnL_36M'!AB$17*'Assumptions'!$H$68</x:f>
        <x:v>126361.4341309091</x:v>
      </x:c>
      <x:c r="AC26" s="98" t="n">
        <x:f>'PnL_36M'!AC$17*'Assumptions'!$H$68</x:f>
        <x:v>131492.61185454545</x:v>
      </x:c>
      <x:c r="AD26" s="98" t="n">
        <x:f>'PnL_36M'!AD$17*'Assumptions'!$H$68</x:f>
        <x:v>147768.5298981818</x:v>
      </x:c>
      <x:c r="AE26" s="98" t="n">
        <x:f>'PnL_36M'!AE$17*'Assumptions'!$H$68</x:f>
        <x:v>163718.3474181818</x:v>
      </x:c>
      <x:c r="AF26" s="98" t="n">
        <x:f>'PnL_36M'!AF$17*'Assumptions'!$H$68</x:f>
        <x:v>183447.02284363637</x:v>
      </x:c>
      <x:c r="AG26" s="98" t="n">
        <x:f>'PnL_36M'!AG$17*'Assumptions'!$H$68</x:f>
        <x:v>173932.7580581818</x:v>
      </x:c>
      <x:c r="AH26" s="98" t="n">
        <x:f>'PnL_36M'!AH$17*'Assumptions'!$H$68</x:f>
        <x:v>149907.31789090906</x:v>
      </x:c>
      <x:c r="AI26" s="98" t="n">
        <x:f>'PnL_36M'!AI$17*'Assumptions'!$H$68</x:f>
        <x:v>140632.83130909092</x:v>
      </x:c>
      <x:c r="AJ26" s="98" t="n">
        <x:f>'PnL_36M'!AJ$17*'Assumptions'!$H$68</x:f>
        <x:v>122285.25883636365</x:v>
      </x:c>
      <x:c r="AK26" s="98" t="n">
        <x:f>'PnL_36M'!AK$17*'Assumptions'!$H$68</x:f>
        <x:v>159661.36088000002</x:v>
      </x:c>
      <x:c r="AL26" s="80"/>
      <x:c r="AM26" s="80"/>
      <x:c r="AN26" s="80"/>
      <x:c r="AO26" s="80"/>
      <x:c r="AP26" s="80"/>
      <x:c r="AQ26" s="80"/>
      <x:c r="AR26" s="80"/>
      <x:c r="AS26" s="80"/>
      <x:c r="AT26" s="80"/>
      <x:c r="AU26" s="80"/>
      <x:c r="AV26" s="80"/>
      <x:c r="AW26" s="80"/>
      <x:c r="AX26" s="80"/>
      <x:c r="AY26" s="80"/>
      <x:c r="AZ26" s="80"/>
    </x:row>
    <x:row r="27">
      <x:c r="A27" s="80" t="str">
        <x:v>Упаковка питания</x:v>
      </x:c>
      <x:c r="B27" s="98" t="n">
        <x:f>'PnL_36M'!B$17*'Assumptions'!$H$69</x:f>
        <x:v>8332.819727272728</x:v>
      </x:c>
      <x:c r="C27" s="98" t="n">
        <x:f>'PnL_36M'!C$17*'Assumptions'!$H$69</x:f>
        <x:v>9551.884490909091</x:v>
      </x:c>
      <x:c r="D27" s="98" t="n">
        <x:f>'PnL_36M'!D$17*'Assumptions'!$H$69</x:f>
        <x:v>12401.4198</x:v>
      </x:c>
      <x:c r="E27" s="98" t="n">
        <x:f>'PnL_36M'!E$17*'Assumptions'!$H$69</x:f>
        <x:v>14121.488181818182</x:v>
      </x:c>
      <x:c r="F27" s="98" t="n">
        <x:f>'PnL_36M'!F$17*'Assumptions'!$H$69</x:f>
        <x:v>17095.958345454543</x:v>
      </x:c>
      <x:c r="G27" s="98" t="n">
        <x:f>'PnL_36M'!G$17*'Assumptions'!$H$69</x:f>
        <x:v>20178.95727272727</x:v>
      </x:c>
      <x:c r="H27" s="98" t="n">
        <x:f>'PnL_36M'!H$17*'Assumptions'!$H$69</x:f>
        <x:v>22729.4046</x:v>
      </x:c>
      <x:c r="I27" s="98" t="n">
        <x:f>'PnL_36M'!I$17*'Assumptions'!$H$69</x:f>
        <x:v>21477.527654545454</x:v>
      </x:c>
      <x:c r="J27" s="98" t="n">
        <x:f>'PnL_36M'!J$17*'Assumptions'!$H$69</x:f>
        <x:v>18361.716545454547</x:v>
      </x:c>
      <x:c r="K27" s="98" t="n">
        <x:f>'PnL_36M'!K$17*'Assumptions'!$H$69</x:f>
        <x:v>17095.958345454546</x:v>
      </x:c>
      <x:c r="L27" s="98" t="n">
        <x:f>'PnL_36M'!L$17*'Assumptions'!$H$69</x:f>
        <x:v>14727.23509090909</x:v>
      </x:c>
      <x:c r="M27" s="98" t="n">
        <x:f>'PnL_36M'!M$17*'Assumptions'!$H$69</x:f>
        <x:v>19599.712236363637</x:v>
      </x:c>
      <x:c r="N27" s="98" t="n">
        <x:f>'PnL_36M'!N$17*'Assumptions'!$H$69</x:f>
        <x:v>13809.781363636364</x:v>
      </x:c>
      <x:c r="O27" s="98" t="n">
        <x:f>'PnL_36M'!O$17*'Assumptions'!$H$69</x:f>
        <x:v>13321.396581818184</x:v>
      </x:c>
      <x:c r="P27" s="98" t="n">
        <x:f>'PnL_36M'!P$17*'Assumptions'!$H$69</x:f>
        <x:v>16000.566018181818</x:v>
      </x:c>
      <x:c r="Q27" s="98" t="n">
        <x:f>'PnL_36M'!Q$17*'Assumptions'!$H$69</x:f>
        <x:v>16695.912545454546</x:v>
      </x:c>
      <x:c r="R27" s="98" t="n">
        <x:f>'PnL_36M'!R$17*'Assumptions'!$H$69</x:f>
        <x:v>18817.289145454546</x:v>
      </x:c>
      <x:c r="S27" s="98" t="n">
        <x:f>'PnL_36M'!S$17*'Assumptions'!$H$69</x:f>
        <x:v>20936.140909090907</x:v>
      </x:c>
      <x:c r="T27" s="98" t="n">
        <x:f>'PnL_36M'!T$17*'Assumptions'!$H$69</x:f>
        <x:v>23511.82769090909</x:v>
      </x:c>
      <x:c r="U27" s="98" t="n">
        <x:f>'PnL_36M'!U$17*'Assumptions'!$H$69</x:f>
        <x:v>22259.950745454546</x:v>
      </x:c>
      <x:c r="V27" s="98" t="n">
        <x:f>'PnL_36M'!V$17*'Assumptions'!$H$69</x:f>
        <x:v>19118.90018181818</x:v>
      </x:c>
      <x:c r="W27" s="98" t="n">
        <x:f>'PnL_36M'!W$17*'Assumptions'!$H$69</x:f>
        <x:v>17878.381436363637</x:v>
      </x:c>
      <x:c r="X27" s="98" t="n">
        <x:f>'PnL_36M'!X$17*'Assumptions'!$H$69</x:f>
        <x:v>15484.418727272727</x:v>
      </x:c>
      <x:c r="Y27" s="98" t="n">
        <x:f>'PnL_36M'!Y$17*'Assumptions'!$H$69</x:f>
        <x:v>20382.13532727273</x:v>
      </x:c>
      <x:c r="Z27" s="98" t="n">
        <x:f>'PnL_36M'!Z$17*'Assumptions'!$H$69</x:f>
        <x:v>14435.719836363634</x:v>
      </x:c>
      <x:c r="AA27" s="98" t="n">
        <x:f>'PnL_36M'!AA$17*'Assumptions'!$H$69</x:f>
        <x:v>13886.760363636362</x:v>
      </x:c>
      <x:c r="AB27" s="98" t="n">
        <x:f>'PnL_36M'!AB$17*'Assumptions'!$H$69</x:f>
        <x:v>16626.50449090909</x:v>
      </x:c>
      <x:c r="AC27" s="98" t="n">
        <x:f>'PnL_36M'!AC$17*'Assumptions'!$H$69</x:f>
        <x:v>17301.659454545454</x:v>
      </x:c>
      <x:c r="AD27" s="98" t="n">
        <x:f>'PnL_36M'!AD$17*'Assumptions'!$H$69</x:f>
        <x:v>19443.227618181816</x:v>
      </x:c>
      <x:c r="AE27" s="98" t="n">
        <x:f>'PnL_36M'!AE$17*'Assumptions'!$H$69</x:f>
        <x:v>21541.887818181818</x:v>
      </x:c>
      <x:c r="AF27" s="98" t="n">
        <x:f>'PnL_36M'!AF$17*'Assumptions'!$H$69</x:f>
        <x:v>24137.766163636363</x:v>
      </x:c>
      <x:c r="AG27" s="98" t="n">
        <x:f>'PnL_36M'!AG$17*'Assumptions'!$H$69</x:f>
        <x:v>22885.889218181816</x:v>
      </x:c>
      <x:c r="AH27" s="98" t="n">
        <x:f>'PnL_36M'!AH$17*'Assumptions'!$H$69</x:f>
        <x:v>19724.64709090909</x:v>
      </x:c>
      <x:c r="AI27" s="98" t="n">
        <x:f>'PnL_36M'!AI$17*'Assumptions'!$H$69</x:f>
        <x:v>18504.31990909091</x:v>
      </x:c>
      <x:c r="AJ27" s="98" t="n">
        <x:f>'PnL_36M'!AJ$17*'Assumptions'!$H$69</x:f>
        <x:v>16090.165636363638</x:v>
      </x:c>
      <x:c r="AK27" s="98" t="n">
        <x:f>'PnL_36M'!AK$17*'Assumptions'!$H$69</x:f>
        <x:v>21008.073800000002</x:v>
      </x:c>
      <x:c r="AL27" s="80"/>
      <x:c r="AM27" s="80"/>
      <x:c r="AN27" s="80"/>
      <x:c r="AO27" s="80"/>
      <x:c r="AP27" s="80"/>
      <x:c r="AQ27" s="80"/>
      <x:c r="AR27" s="80"/>
      <x:c r="AS27" s="80"/>
      <x:c r="AT27" s="80"/>
      <x:c r="AU27" s="80"/>
      <x:c r="AV27" s="80"/>
      <x:c r="AW27" s="80"/>
      <x:c r="AX27" s="80"/>
      <x:c r="AY27" s="80"/>
      <x:c r="AZ27" s="80"/>
    </x:row>
    <x:row r="28">
      <x:c r="A28" s="80" t="str">
        <x:v>Доставка питания</x:v>
      </x:c>
      <x:c r="B28" s="98" t="n">
        <x:f>'PnL_36M'!B$17*'Assumptions'!$H$70</x:f>
        <x:v>4999.691836363637</x:v>
      </x:c>
      <x:c r="C28" s="98" t="n">
        <x:f>'PnL_36M'!C$17*'Assumptions'!$H$70</x:f>
        <x:v>5731.130694545454</x:v>
      </x:c>
      <x:c r="D28" s="98" t="n">
        <x:f>'PnL_36M'!D$17*'Assumptions'!$H$70</x:f>
        <x:v>7440.851879999999</x:v>
      </x:c>
      <x:c r="E28" s="98" t="n">
        <x:f>'PnL_36M'!E$17*'Assumptions'!$H$70</x:f>
        <x:v>8472.892909090908</x:v>
      </x:c>
      <x:c r="F28" s="98" t="n">
        <x:f>'PnL_36M'!F$17*'Assumptions'!$H$70</x:f>
        <x:v>10257.575007272724</x:v>
      </x:c>
      <x:c r="G28" s="98" t="n">
        <x:f>'PnL_36M'!G$17*'Assumptions'!$H$70</x:f>
        <x:v>12107.374363636362</x:v>
      </x:c>
      <x:c r="H28" s="98" t="n">
        <x:f>'PnL_36M'!H$17*'Assumptions'!$H$70</x:f>
        <x:v>13637.642759999999</x:v>
      </x:c>
      <x:c r="I28" s="98" t="n">
        <x:f>'PnL_36M'!I$17*'Assumptions'!$H$70</x:f>
        <x:v>12886.51659272727</x:v>
      </x:c>
      <x:c r="J28" s="98" t="n">
        <x:f>'PnL_36M'!J$17*'Assumptions'!$H$70</x:f>
        <x:v>11017.029927272728</x:v>
      </x:c>
      <x:c r="K28" s="98" t="n">
        <x:f>'PnL_36M'!K$17*'Assumptions'!$H$70</x:f>
        <x:v>10257.575007272726</x:v>
      </x:c>
      <x:c r="L28" s="98" t="n">
        <x:f>'PnL_36M'!L$17*'Assumptions'!$H$70</x:f>
        <x:v>8836.341054545454</x:v>
      </x:c>
      <x:c r="M28" s="98" t="n">
        <x:f>'PnL_36M'!M$17*'Assumptions'!$H$70</x:f>
        <x:v>11759.827341818182</x:v>
      </x:c>
      <x:c r="N28" s="98" t="n">
        <x:f>'PnL_36M'!N$17*'Assumptions'!$H$70</x:f>
        <x:v>8285.868818181818</x:v>
      </x:c>
      <x:c r="O28" s="98" t="n">
        <x:f>'PnL_36M'!O$17*'Assumptions'!$H$70</x:f>
        <x:v>7992.83794909091</x:v>
      </x:c>
      <x:c r="P28" s="98" t="n">
        <x:f>'PnL_36M'!P$17*'Assumptions'!$H$70</x:f>
        <x:v>9600.33961090909</x:v>
      </x:c>
      <x:c r="Q28" s="98" t="n">
        <x:f>'PnL_36M'!Q$17*'Assumptions'!$H$70</x:f>
        <x:v>10017.547527272727</x:v>
      </x:c>
      <x:c r="R28" s="98" t="n">
        <x:f>'PnL_36M'!R$17*'Assumptions'!$H$70</x:f>
        <x:v>11290.373487272727</x:v>
      </x:c>
      <x:c r="S28" s="98" t="n">
        <x:f>'PnL_36M'!S$17*'Assumptions'!$H$70</x:f>
        <x:v>12561.684545454544</x:v>
      </x:c>
      <x:c r="T28" s="98" t="n">
        <x:f>'PnL_36M'!T$17*'Assumptions'!$H$70</x:f>
        <x:v>14107.096614545451</x:v>
      </x:c>
      <x:c r="U28" s="98" t="n">
        <x:f>'PnL_36M'!U$17*'Assumptions'!$H$70</x:f>
        <x:v>13355.970447272726</x:v>
      </x:c>
      <x:c r="V28" s="98" t="n">
        <x:f>'PnL_36M'!V$17*'Assumptions'!$H$70</x:f>
        <x:v>11471.340109090906</x:v>
      </x:c>
      <x:c r="W28" s="98" t="n">
        <x:f>'PnL_36M'!W$17*'Assumptions'!$H$70</x:f>
        <x:v>10727.028861818182</x:v>
      </x:c>
      <x:c r="X28" s="98" t="n">
        <x:f>'PnL_36M'!X$17*'Assumptions'!$H$70</x:f>
        <x:v>9290.651236363636</x:v>
      </x:c>
      <x:c r="Y28" s="98" t="n">
        <x:f>'PnL_36M'!Y$17*'Assumptions'!$H$70</x:f>
        <x:v>12229.281196363634</x:v>
      </x:c>
      <x:c r="Z28" s="98" t="n">
        <x:f>'PnL_36M'!Z$17*'Assumptions'!$H$70</x:f>
        <x:v>8661.43190181818</x:v>
      </x:c>
      <x:c r="AA28" s="98" t="n">
        <x:f>'PnL_36M'!AA$17*'Assumptions'!$H$70</x:f>
        <x:v>8332.056218181817</x:v>
      </x:c>
      <x:c r="AB28" s="98" t="n">
        <x:f>'PnL_36M'!AB$17*'Assumptions'!$H$70</x:f>
        <x:v>9975.902694545453</x:v>
      </x:c>
      <x:c r="AC28" s="98" t="n">
        <x:f>'PnL_36M'!AC$17*'Assumptions'!$H$70</x:f>
        <x:v>10380.995672727273</x:v>
      </x:c>
      <x:c r="AD28" s="98" t="n">
        <x:f>'PnL_36M'!AD$17*'Assumptions'!$H$70</x:f>
        <x:v>11665.936570909089</x:v>
      </x:c>
      <x:c r="AE28" s="98" t="n">
        <x:f>'PnL_36M'!AE$17*'Assumptions'!$H$70</x:f>
        <x:v>12925.13269090909</x:v>
      </x:c>
      <x:c r="AF28" s="98" t="n">
        <x:f>'PnL_36M'!AF$17*'Assumptions'!$H$70</x:f>
        <x:v>14482.659698181817</x:v>
      </x:c>
      <x:c r="AG28" s="98" t="n">
        <x:f>'PnL_36M'!AG$17*'Assumptions'!$H$70</x:f>
        <x:v>13731.533530909088</x:v>
      </x:c>
      <x:c r="AH28" s="98" t="n">
        <x:f>'PnL_36M'!AH$17*'Assumptions'!$H$70</x:f>
        <x:v>11834.788254545452</x:v>
      </x:c>
      <x:c r="AI28" s="98" t="n">
        <x:f>'PnL_36M'!AI$17*'Assumptions'!$H$70</x:f>
        <x:v>11102.591945454546</x:v>
      </x:c>
      <x:c r="AJ28" s="98" t="n">
        <x:f>'PnL_36M'!AJ$17*'Assumptions'!$H$70</x:f>
        <x:v>9654.099381818181</x:v>
      </x:c>
      <x:c r="AK28" s="98" t="n">
        <x:f>'PnL_36M'!AK$17*'Assumptions'!$H$70</x:f>
        <x:v>12604.844280000001</x:v>
      </x:c>
      <x:c r="AL28" s="80"/>
      <x:c r="AM28" s="80"/>
      <x:c r="AN28" s="80"/>
      <x:c r="AO28" s="80"/>
      <x:c r="AP28" s="80"/>
      <x:c r="AQ28" s="80"/>
      <x:c r="AR28" s="80"/>
      <x:c r="AS28" s="80"/>
      <x:c r="AT28" s="80"/>
      <x:c r="AU28" s="80"/>
      <x:c r="AV28" s="80"/>
      <x:c r="AW28" s="80"/>
      <x:c r="AX28" s="80"/>
      <x:c r="AY28" s="80"/>
      <x:c r="AZ28" s="80"/>
    </x:row>
    <x:row r="29">
      <x:c r="A29" s="80" t="str">
        <x:v>Списания food</x:v>
      </x:c>
      <x:c r="B29" s="98" t="n">
        <x:f>'PnL_36M'!B$17*'Assumptions'!$H$71</x:f>
        <x:v>3333.127890909091</x:v>
      </x:c>
      <x:c r="C29" s="98" t="n">
        <x:f>'PnL_36M'!C$17*'Assumptions'!$H$71</x:f>
        <x:v>3820.7537963636364</x:v>
      </x:c>
      <x:c r="D29" s="98" t="n">
        <x:f>'PnL_36M'!D$17*'Assumptions'!$H$71</x:f>
        <x:v>4960.5679199999995</x:v>
      </x:c>
      <x:c r="E29" s="98" t="n">
        <x:f>'PnL_36M'!E$17*'Assumptions'!$H$71</x:f>
        <x:v>5648.5952727272725</x:v>
      </x:c>
      <x:c r="F29" s="98" t="n">
        <x:f>'PnL_36M'!F$17*'Assumptions'!$H$71</x:f>
        <x:v>6838.383338181817</x:v>
      </x:c>
      <x:c r="G29" s="98" t="n">
        <x:f>'PnL_36M'!G$17*'Assumptions'!$H$71</x:f>
        <x:v>8071.582909090908</x:v>
      </x:c>
      <x:c r="H29" s="98" t="n">
        <x:f>'PnL_36M'!H$17*'Assumptions'!$H$71</x:f>
        <x:v>9091.761840000001</x:v>
      </x:c>
      <x:c r="I29" s="98" t="n">
        <x:f>'PnL_36M'!I$17*'Assumptions'!$H$71</x:f>
        <x:v>8591.01106181818</x:v>
      </x:c>
      <x:c r="J29" s="98" t="n">
        <x:f>'PnL_36M'!J$17*'Assumptions'!$H$71</x:f>
        <x:v>7344.686618181819</x:v>
      </x:c>
      <x:c r="K29" s="98" t="n">
        <x:f>'PnL_36M'!K$17*'Assumptions'!$H$71</x:f>
        <x:v>6838.383338181818</x:v>
      </x:c>
      <x:c r="L29" s="98" t="n">
        <x:f>'PnL_36M'!L$17*'Assumptions'!$H$71</x:f>
        <x:v>5890.894036363636</x:v>
      </x:c>
      <x:c r="M29" s="98" t="n">
        <x:f>'PnL_36M'!M$17*'Assumptions'!$H$71</x:f>
        <x:v>7839.884894545455</x:v>
      </x:c>
      <x:c r="N29" s="98" t="n">
        <x:f>'PnL_36M'!N$17*'Assumptions'!$H$71</x:f>
        <x:v>5523.912545454546</x:v>
      </x:c>
      <x:c r="O29" s="98" t="n">
        <x:f>'PnL_36M'!O$17*'Assumptions'!$H$71</x:f>
        <x:v>5328.558632727274</x:v>
      </x:c>
      <x:c r="P29" s="98" t="n">
        <x:f>'PnL_36M'!P$17*'Assumptions'!$H$71</x:f>
        <x:v>6400.226407272728</x:v>
      </x:c>
      <x:c r="Q29" s="98" t="n">
        <x:f>'PnL_36M'!Q$17*'Assumptions'!$H$71</x:f>
        <x:v>6678.365018181818</x:v>
      </x:c>
      <x:c r="R29" s="98" t="n">
        <x:f>'PnL_36M'!R$17*'Assumptions'!$H$71</x:f>
        <x:v>7526.915658181819</x:v>
      </x:c>
      <x:c r="S29" s="98" t="n">
        <x:f>'PnL_36M'!S$17*'Assumptions'!$H$71</x:f>
        <x:v>8374.456363636362</x:v>
      </x:c>
      <x:c r="T29" s="98" t="n">
        <x:f>'PnL_36M'!T$17*'Assumptions'!$H$71</x:f>
        <x:v>9404.731076363634</x:v>
      </x:c>
      <x:c r="U29" s="98" t="n">
        <x:f>'PnL_36M'!U$17*'Assumptions'!$H$71</x:f>
        <x:v>8903.980298181817</x:v>
      </x:c>
      <x:c r="V29" s="98" t="n">
        <x:f>'PnL_36M'!V$17*'Assumptions'!$H$71</x:f>
        <x:v>7647.560072727271</x:v>
      </x:c>
      <x:c r="W29" s="98" t="n">
        <x:f>'PnL_36M'!W$17*'Assumptions'!$H$71</x:f>
        <x:v>7151.352574545454</x:v>
      </x:c>
      <x:c r="X29" s="98" t="n">
        <x:f>'PnL_36M'!X$17*'Assumptions'!$H$71</x:f>
        <x:v>6193.76749090909</x:v>
      </x:c>
      <x:c r="Y29" s="98" t="n">
        <x:f>'PnL_36M'!Y$17*'Assumptions'!$H$71</x:f>
        <x:v>8152.854130909091</x:v>
      </x:c>
      <x:c r="Z29" s="98" t="n">
        <x:f>'PnL_36M'!Z$17*'Assumptions'!$H$71</x:f>
        <x:v>5774.287934545453</x:v>
      </x:c>
      <x:c r="AA29" s="98" t="n">
        <x:f>'PnL_36M'!AA$17*'Assumptions'!$H$71</x:f>
        <x:v>5554.704145454544</x:v>
      </x:c>
      <x:c r="AB29" s="98" t="n">
        <x:f>'PnL_36M'!AB$17*'Assumptions'!$H$71</x:f>
        <x:v>6650.601796363637</x:v>
      </x:c>
      <x:c r="AC29" s="98" t="n">
        <x:f>'PnL_36M'!AC$17*'Assumptions'!$H$71</x:f>
        <x:v>6920.663781818182</x:v>
      </x:c>
      <x:c r="AD29" s="98" t="n">
        <x:f>'PnL_36M'!AD$17*'Assumptions'!$H$71</x:f>
        <x:v>7777.291047272726</x:v>
      </x:c>
      <x:c r="AE29" s="98" t="n">
        <x:f>'PnL_36M'!AE$17*'Assumptions'!$H$71</x:f>
        <x:v>8616.755127272727</x:v>
      </x:c>
      <x:c r="AF29" s="98" t="n">
        <x:f>'PnL_36M'!AF$17*'Assumptions'!$H$71</x:f>
        <x:v>9655.106465454546</x:v>
      </x:c>
      <x:c r="AG29" s="98" t="n">
        <x:f>'PnL_36M'!AG$17*'Assumptions'!$H$71</x:f>
        <x:v>9154.355687272726</x:v>
      </x:c>
      <x:c r="AH29" s="98" t="n">
        <x:f>'PnL_36M'!AH$17*'Assumptions'!$H$71</x:f>
        <x:v>7889.858836363635</x:v>
      </x:c>
      <x:c r="AI29" s="98" t="n">
        <x:f>'PnL_36M'!AI$17*'Assumptions'!$H$71</x:f>
        <x:v>7401.727963636364</x:v>
      </x:c>
      <x:c r="AJ29" s="98" t="n">
        <x:f>'PnL_36M'!AJ$17*'Assumptions'!$H$71</x:f>
        <x:v>6436.066254545455</x:v>
      </x:c>
      <x:c r="AK29" s="98" t="n">
        <x:f>'PnL_36M'!AK$17*'Assumptions'!$H$71</x:f>
        <x:v>8403.22952</x:v>
      </x:c>
      <x:c r="AL29" s="80"/>
      <x:c r="AM29" s="80"/>
      <x:c r="AN29" s="80"/>
      <x:c r="AO29" s="80"/>
      <x:c r="AP29" s="80"/>
      <x:c r="AQ29" s="80"/>
      <x:c r="AR29" s="80"/>
      <x:c r="AS29" s="80"/>
      <x:c r="AT29" s="80"/>
      <x:c r="AU29" s="80"/>
      <x:c r="AV29" s="80"/>
      <x:c r="AW29" s="80"/>
      <x:c r="AX29" s="80"/>
      <x:c r="AY29" s="80"/>
      <x:c r="AZ29" s="80"/>
    </x:row>
    <x:row r="30">
      <x:c r="A30" s="80" t="str">
        <x:v>Прочие сервисы</x:v>
      </x:c>
      <x:c r="B30" s="98" t="n">
        <x:f>'PnL_36M'!B$18*'Assumptions'!$H$78</x:f>
        <x:v>12557.360340000001</x:v>
      </x:c>
      <x:c r="C30" s="98" t="n">
        <x:f>'PnL_36M'!C$18*'Assumptions'!$H$78</x:f>
        <x:v>14357.698739999998</x:v>
      </x:c>
      <x:c r="D30" s="98" t="n">
        <x:f>'PnL_36M'!D$18*'Assumptions'!$H$78</x:f>
        <x:v>18603.496799999997</x:v>
      </x:c>
      <x:c r="E30" s="98" t="n">
        <x:f>'PnL_36M'!E$18*'Assumptions'!$H$78</x:f>
        <x:v>21153.976199999997</x:v>
      </x:c>
      <x:c r="F30" s="98" t="n">
        <x:f>'PnL_36M'!F$18*'Assumptions'!$H$78</x:f>
        <x:v>25579.80809999999</x:v>
      </x:c>
      <x:c r="G30" s="98" t="n">
        <x:f>'PnL_36M'!G$18*'Assumptions'!$H$78</x:f>
        <x:v>30155.668199999996</x:v>
      </x:c>
      <x:c r="H30" s="98" t="n">
        <x:f>'PnL_36M'!H$18*'Assumptions'!$H$78</x:f>
        <x:v>33951.38166</x:v>
      </x:c>
      <x:c r="I30" s="98" t="n">
        <x:f>'PnL_36M'!I$18*'Assumptions'!$H$78</x:f>
        <x:v>32091.031979999992</x:v>
      </x:c>
      <x:c r="J30" s="98" t="n">
        <x:f>'PnL_36M'!J$18*'Assumptions'!$H$78</x:f>
        <x:v>27455.160599999996</x:v>
      </x:c>
      <x:c r="K30" s="98" t="n">
        <x:f>'PnL_36M'!K$18*'Assumptions'!$H$78</x:f>
        <x:v>25579.808099999995</x:v>
      </x:c>
      <x:c r="L30" s="98" t="n">
        <x:f>'PnL_36M'!L$18*'Assumptions'!$H$78</x:f>
        <x:v>22054.145399999998</x:v>
      </x:c>
      <x:c r="M30" s="98" t="n">
        <x:f>'PnL_36M'!M$18*'Assumptions'!$H$78</x:f>
        <x:v>29300.50746</x:v>
      </x:c>
      <x:c r="N30" s="98" t="n">
        <x:f>'PnL_36M'!N$18*'Assumptions'!$H$78</x:f>
        <x:v>20696.39019</x:v>
      </x:c>
      <x:c r="O30" s="98" t="n">
        <x:f>'PnL_36M'!O$18*'Assumptions'!$H$78</x:f>
        <x:v>19953.750599999996</x:v>
      </x:c>
      <x:c r="P30" s="98" t="n">
        <x:f>'PnL_36M'!P$18*'Assumptions'!$H$78</x:f>
        <x:v>23952.00213</x:v>
      </x:c>
      <x:c r="Q30" s="98" t="n">
        <x:f>'PnL_36M'!Q$18*'Assumptions'!$H$78</x:f>
        <x:v>24979.695300000003</x:v>
      </x:c>
      <x:c r="R30" s="98" t="n">
        <x:f>'PnL_36M'!R$18*'Assumptions'!$H$78</x:f>
        <x:v>28137.78891</x:v>
      </x:c>
      <x:c r="S30" s="98" t="n">
        <x:f>'PnL_36M'!S$18*'Assumptions'!$H$78</x:f>
        <x:v>31280.8797</x:v>
      </x:c>
      <x:c r="T30" s="98" t="n">
        <x:f>'PnL_36M'!T$18*'Assumptions'!$H$78</x:f>
        <x:v>35114.10021</x:v>
      </x:c>
      <x:c r="U30" s="98" t="n">
        <x:f>'PnL_36M'!U$18*'Assumptions'!$H$78</x:f>
        <x:v>33253.75052999999</x:v>
      </x:c>
      <x:c r="V30" s="98" t="n">
        <x:f>'PnL_36M'!V$18*'Assumptions'!$H$78</x:f>
        <x:v>28580.372099999993</x:v>
      </x:c>
      <x:c r="W30" s="98" t="n">
        <x:f>'PnL_36M'!W$18*'Assumptions'!$H$78</x:f>
        <x:v>26742.526650000003</x:v>
      </x:c>
      <x:c r="X30" s="98" t="n">
        <x:f>'PnL_36M'!X$18*'Assumptions'!$H$78</x:f>
        <x:v>23179.356899999995</x:v>
      </x:c>
      <x:c r="Y30" s="98" t="n">
        <x:f>'PnL_36M'!Y$18*'Assumptions'!$H$78</x:f>
        <x:v>30463.22600999999</x:v>
      </x:c>
      <x:c r="Z30" s="98" t="n">
        <x:f>'PnL_36M'!Z$18*'Assumptions'!$H$78</x:f>
        <x:v>21626.565029999994</x:v>
      </x:c>
      <x:c r="AA30" s="98" t="n">
        <x:f>'PnL_36M'!AA$18*'Assumptions'!$H$78</x:f>
        <x:v>20793.908519999994</x:v>
      </x:c>
      <x:c r="AB30" s="98" t="n">
        <x:f>'PnL_36M'!AB$18*'Assumptions'!$H$78</x:f>
        <x:v>24882.176969999993</x:v>
      </x:c>
      <x:c r="AC30" s="98" t="n">
        <x:f>'PnL_36M'!AC$18*'Assumptions'!$H$78</x:f>
        <x:v>25879.864500000003</x:v>
      </x:c>
      <x:c r="AD30" s="98" t="n">
        <x:f>'PnL_36M'!AD$18*'Assumptions'!$H$78</x:f>
        <x:v>29067.963750000003</x:v>
      </x:c>
      <x:c r="AE30" s="98" t="n">
        <x:f>'PnL_36M'!AE$18*'Assumptions'!$H$78</x:f>
        <x:v>32181.048900000005</x:v>
      </x:c>
      <x:c r="AF30" s="98" t="n">
        <x:f>'PnL_36M'!AF$18*'Assumptions'!$H$78</x:f>
        <x:v>36044.27505</x:v>
      </x:c>
      <x:c r="AG30" s="98" t="n">
        <x:f>'PnL_36M'!AG$18*'Assumptions'!$H$78</x:f>
        <x:v>34183.92536999999</x:v>
      </x:c>
      <x:c r="AH30" s="98" t="n">
        <x:f>'PnL_36M'!AH$18*'Assumptions'!$H$78</x:f>
        <x:v>29480.5413</x:v>
      </x:c>
      <x:c r="AI30" s="98" t="n">
        <x:f>'PnL_36M'!AI$18*'Assumptions'!$H$78</x:f>
        <x:v>27672.70149</x:v>
      </x:c>
      <x:c r="AJ30" s="98" t="n">
        <x:f>'PnL_36M'!AJ$18*'Assumptions'!$H$78</x:f>
        <x:v>24079.526099999995</x:v>
      </x:c>
      <x:c r="AK30" s="98" t="n">
        <x:f>'PnL_36M'!AK$18*'Assumptions'!$H$78</x:f>
        <x:v>31393.400850000005</x:v>
      </x:c>
      <x:c r="AL30" s="80"/>
      <x:c r="AM30" s="80"/>
      <x:c r="AN30" s="80"/>
      <x:c r="AO30" s="80"/>
      <x:c r="AP30" s="80"/>
      <x:c r="AQ30" s="80"/>
      <x:c r="AR30" s="80"/>
      <x:c r="AS30" s="80"/>
      <x:c r="AT30" s="80"/>
      <x:c r="AU30" s="80"/>
      <x:c r="AV30" s="80"/>
      <x:c r="AW30" s="80"/>
      <x:c r="AX30" s="80"/>
      <x:c r="AY30" s="80"/>
      <x:c r="AZ30" s="80"/>
    </x:row>
    <x:row r="31">
      <x:c r="A31" s="99" t="str">
        <x:v>TOTAL VARIABLE OPEX</x:v>
      </x:c>
      <x:c r="B31" s="100" t="n">
        <x:f>SUM(B8:B30)</x:f>
        <x:v>452353.951807066</x:v>
      </x:c>
      <x:c r="C31" s="100" t="n">
        <x:f>SUM(C8:C30)</x:f>
        <x:v>522685.2237037989</x:v>
      </x:c>
      <x:c r="D31" s="100" t="n">
        <x:f>SUM(D8:D30)</x:f>
        <x:v>686591.987595172</x:v>
      </x:c>
      <x:c r="E31" s="100" t="n">
        <x:f>SUM(E8:E30)</x:f>
        <x:v>793849.0004837814</x:v>
      </x:c>
      <x:c r="F31" s="100" t="n">
        <x:f>SUM(F8:F30)</x:f>
        <x:v>975624.6445380064</x:v>
      </x:c>
      <x:c r="G31" s="100" t="n">
        <x:f>SUM(G8:G30)</x:f>
        <x:v>1198601.6916688231</x:v>
      </x:c>
      <x:c r="H31" s="100" t="n">
        <x:f>SUM(H8:H30)</x:f>
        <x:v>1388584.1253597904</x:v>
      </x:c>
      <x:c r="I31" s="100" t="n">
        <x:f>SUM(I8:I30)</x:f>
        <x:v>1293899.0414861634</x:v>
      </x:c>
      <x:c r="J31" s="100" t="n">
        <x:f>SUM(J8:J30)</x:f>
        <x:v>1059578.5138826007</x:v>
      </x:c>
      <x:c r="K31" s="100" t="n">
        <x:f>SUM(K8:K30)</x:f>
        <x:v>964817.222348703</x:v>
      </x:c>
      <x:c r="L31" s="100" t="n">
        <x:f>SUM(L8:L30)</x:f>
        <x:v>812434.3231073236</x:v>
      </x:c>
      <x:c r="M31" s="100" t="n">
        <x:f>SUM(M8:M30)</x:f>
        <x:v>1168254.1280892398</x:v>
      </x:c>
      <x:c r="N31" s="100" t="n">
        <x:f>SUM(N8:N30)</x:f>
        <x:v>780070.0325064006</x:v>
      </x:c>
      <x:c r="O31" s="100" t="n">
        <x:f>SUM(O8:O30)</x:f>
        <x:v>758469.9545320094</x:v>
      </x:c>
      <x:c r="P31" s="100" t="n">
        <x:f>SUM(P8:P30)</x:f>
        <x:v>921791.4232926334</x:v>
      </x:c>
      <x:c r="Q31" s="100" t="n">
        <x:f>SUM(Q8:Q30)</x:f>
        <x:v>976829.5843247331</x:v>
      </x:c>
      <x:c r="R31" s="100" t="n">
        <x:f>SUM(R8:R30)</x:f>
        <x:v>1117849.8986190849</x:v>
      </x:c>
      <x:c r="S31" s="100" t="n">
        <x:f>SUM(S8:S30)</x:f>
        <x:v>1295376.5577790667</x:v>
      </x:c>
      <x:c r="T31" s="100" t="n">
        <x:f>SUM(T8:T30)</x:f>
        <x:v>1496939.326677935</x:v>
      </x:c>
      <x:c r="U31" s="100" t="n">
        <x:f>SUM(U8:U30)</x:f>
        <x:v>1397239.1448150289</x:v>
      </x:c>
      <x:c r="V31" s="100" t="n">
        <x:f>SUM(V8:V30)</x:f>
        <x:v>1148638.347035891</x:v>
      </x:c>
      <x:c r="W31" s="100" t="n">
        <x:f>SUM(W8:W30)</x:f>
        <x:v>1050039.8926520112</x:v>
      </x:c>
      <x:c r="X31" s="100" t="n">
        <x:f>SUM(X8:X30)</x:f>
        <x:v>888599.073649015</x:v>
      </x:c>
      <x:c r="Y31" s="100" t="n">
        <x:f>SUM(Y8:Y30)</x:f>
        <x:v>1265582.2085752173</x:v>
      </x:c>
      <x:c r="Z31" s="100" t="n">
        <x:f>SUM(Z8:Z30)</x:f>
        <x:v>848635.5049010152</x:v>
      </x:c>
      <x:c r="AA31" s="100" t="n">
        <x:f>SUM(AA8:AA30)</x:f>
        <x:v>822975.1657899395</x:v>
      </x:c>
      <x:c r="AB31" s="100" t="n">
        <x:f>SUM(AB8:AB30)</x:f>
        <x:v>997209.2183244074</x:v>
      </x:c>
      <x:c r="AC31" s="100" t="n">
        <x:f>SUM(AC8:AC30)</x:f>
        <x:v>1054152.9366888404</x:v>
      </x:c>
      <x:c r="AD31" s="100" t="n">
        <x:f>SUM(AD8:AD30)</x:f>
        <x:v>1203142.9204387106</x:v>
      </x:c>
      <x:c r="AE31" s="100" t="n">
        <x:f>SUM(AE8:AE30)</x:f>
        <x:v>1389339.0251503973</x:v>
      </x:c>
      <x:c r="AF31" s="100" t="n">
        <x:f>SUM(AF8:AF30)</x:f>
        <x:v>1602675.774260189</x:v>
      </x:c>
      <x:c r="AG31" s="100" t="n">
        <x:f>SUM(AG8:AG30)</x:f>
        <x:v>1497766.5279049468</x:v>
      </x:c>
      <x:c r="AH31" s="100" t="n">
        <x:f>SUM(AH8:AH30)</x:f>
        <x:v>1234629.8589108519</x:v>
      </x:c>
      <x:c r="AI31" s="100" t="n">
        <x:f>SUM(AI8:AI30)</x:f>
        <x:v>1131844.0239281915</x:v>
      </x:c>
      <x:c r="AJ31" s="100" t="n">
        <x:f>SUM(AJ8:AJ30)</x:f>
        <x:v>961232.2671126833</x:v>
      </x:c>
      <x:c r="AK31" s="100" t="n">
        <x:f>SUM(AK8:AK30)</x:f>
        <x:v>1359817.0519838997</x:v>
      </x:c>
      <x:c r="AL31" s="80"/>
      <x:c r="AM31" s="80"/>
      <x:c r="AN31" s="80"/>
      <x:c r="AO31" s="80"/>
      <x:c r="AP31" s="80"/>
      <x:c r="AQ31" s="80"/>
      <x:c r="AR31" s="80"/>
      <x:c r="AS31" s="80"/>
      <x:c r="AT31" s="80"/>
      <x:c r="AU31" s="80"/>
      <x:c r="AV31" s="80"/>
      <x:c r="AW31" s="80"/>
      <x:c r="AX31" s="80"/>
      <x:c r="AY31" s="80"/>
      <x:c r="AZ31" s="80"/>
    </x:row>
    <x:row r="32">
      <x:c r="A32" s="80"/>
      <x:c r="B32" s="98"/>
      <x:c r="C32" s="98"/>
      <x:c r="D32" s="98"/>
      <x:c r="E32" s="98"/>
      <x:c r="F32" s="98"/>
      <x:c r="G32" s="98"/>
      <x:c r="H32" s="98"/>
      <x:c r="I32" s="98"/>
      <x:c r="J32" s="98"/>
      <x:c r="K32" s="98"/>
      <x:c r="L32" s="98"/>
      <x:c r="M32" s="98"/>
      <x:c r="N32" s="98"/>
      <x:c r="O32" s="98"/>
      <x:c r="P32" s="98"/>
      <x:c r="Q32" s="98"/>
      <x:c r="R32" s="98"/>
      <x:c r="S32" s="98"/>
      <x:c r="T32" s="98"/>
      <x:c r="U32" s="98"/>
      <x:c r="V32" s="98"/>
      <x:c r="W32" s="98"/>
      <x:c r="X32" s="98"/>
      <x:c r="Y32" s="98"/>
      <x:c r="Z32" s="98"/>
      <x:c r="AA32" s="98"/>
      <x:c r="AB32" s="98"/>
      <x:c r="AC32" s="98"/>
      <x:c r="AD32" s="98"/>
      <x:c r="AE32" s="98"/>
      <x:c r="AF32" s="98"/>
      <x:c r="AG32" s="98"/>
      <x:c r="AH32" s="98"/>
      <x:c r="AI32" s="98"/>
      <x:c r="AJ32" s="98"/>
      <x:c r="AK32" s="98"/>
      <x:c r="AL32" s="80"/>
      <x:c r="AM32" s="80"/>
      <x:c r="AN32" s="80"/>
      <x:c r="AO32" s="80"/>
      <x:c r="AP32" s="80"/>
      <x:c r="AQ32" s="80"/>
      <x:c r="AR32" s="80"/>
      <x:c r="AS32" s="80"/>
      <x:c r="AT32" s="80"/>
      <x:c r="AU32" s="80"/>
      <x:c r="AV32" s="80"/>
      <x:c r="AW32" s="80"/>
      <x:c r="AX32" s="80"/>
      <x:c r="AY32" s="80"/>
      <x:c r="AZ32" s="80"/>
    </x:row>
    <x:row r="33" ht="22" customHeight="1">
      <x:c r="A33" s="106" t="str">
        <x:v>ФОТ И НАЧИСЛЕНИЯ</x:v>
      </x:c>
      <x:c r="B33" s="107"/>
      <x:c r="C33" s="107"/>
      <x:c r="D33" s="107"/>
      <x:c r="E33" s="107"/>
      <x:c r="F33" s="107"/>
      <x:c r="G33" s="107"/>
      <x:c r="H33" s="107"/>
      <x:c r="I33" s="107"/>
      <x:c r="J33" s="107"/>
      <x:c r="K33" s="107"/>
      <x:c r="L33" s="107"/>
      <x:c r="M33" s="107"/>
      <x:c r="N33" s="107"/>
      <x:c r="O33" s="107"/>
      <x:c r="P33" s="107"/>
      <x:c r="Q33" s="107"/>
      <x:c r="R33" s="107"/>
      <x:c r="S33" s="107"/>
      <x:c r="T33" s="107"/>
      <x:c r="U33" s="107"/>
      <x:c r="V33" s="107"/>
      <x:c r="W33" s="107"/>
      <x:c r="X33" s="107"/>
      <x:c r="Y33" s="107"/>
      <x:c r="Z33" s="107"/>
      <x:c r="AA33" s="107"/>
      <x:c r="AB33" s="107"/>
      <x:c r="AC33" s="107"/>
      <x:c r="AD33" s="107"/>
      <x:c r="AE33" s="107"/>
      <x:c r="AF33" s="107"/>
      <x:c r="AG33" s="107"/>
      <x:c r="AH33" s="107"/>
      <x:c r="AI33" s="107"/>
      <x:c r="AJ33" s="107"/>
      <x:c r="AK33" s="107"/>
      <x:c r="AL33" s="80"/>
      <x:c r="AM33" s="80"/>
      <x:c r="AN33" s="80"/>
      <x:c r="AO33" s="80"/>
      <x:c r="AP33" s="80"/>
      <x:c r="AQ33" s="80"/>
      <x:c r="AR33" s="80"/>
      <x:c r="AS33" s="80"/>
      <x:c r="AT33" s="80"/>
      <x:c r="AU33" s="80"/>
      <x:c r="AV33" s="80"/>
      <x:c r="AW33" s="80"/>
      <x:c r="AX33" s="80"/>
      <x:c r="AY33" s="80"/>
      <x:c r="AZ33" s="80"/>
    </x:row>
    <x:row r="34">
      <x:c r="A34" s="80" t="str">
        <x:v>Клининг и прачечная · fixed</x:v>
      </x:c>
      <x:c r="B34" s="98" t="n">
        <x:f>('Assumptions'!$H$45+'Assumptions'!$H$46*'Assumptions'!$B$5)*(1+'Assumptions'!$B$8)^0</x:f>
        <x:v>255000</x:v>
      </x:c>
      <x:c r="C34" s="98" t="n">
        <x:f>('Assumptions'!$H$45+'Assumptions'!$H$46*'Assumptions'!$B$5)*(1+'Assumptions'!$B$8)^0</x:f>
        <x:v>255000</x:v>
      </x:c>
      <x:c r="D34" s="98" t="n">
        <x:f>('Assumptions'!$H$45+'Assumptions'!$H$46*'Assumptions'!$B$5)*(1+'Assumptions'!$B$8)^0</x:f>
        <x:v>255000</x:v>
      </x:c>
      <x:c r="E34" s="98" t="n">
        <x:f>('Assumptions'!$H$45+'Assumptions'!$H$46*'Assumptions'!$B$5)*(1+'Assumptions'!$B$8)^0</x:f>
        <x:v>255000</x:v>
      </x:c>
      <x:c r="F34" s="98" t="n">
        <x:f>('Assumptions'!$H$45+'Assumptions'!$H$46*'Assumptions'!$B$5)*(1+'Assumptions'!$B$8)^0</x:f>
        <x:v>255000</x:v>
      </x:c>
      <x:c r="G34" s="98" t="n">
        <x:f>('Assumptions'!$H$45+'Assumptions'!$H$46*'Assumptions'!$B$5)*(1+'Assumptions'!$B$8)^0</x:f>
        <x:v>255000</x:v>
      </x:c>
      <x:c r="H34" s="98" t="n">
        <x:f>('Assumptions'!$H$45+'Assumptions'!$H$46*'Assumptions'!$B$5)*(1+'Assumptions'!$B$8)^0</x:f>
        <x:v>255000</x:v>
      </x:c>
      <x:c r="I34" s="98" t="n">
        <x:f>('Assumptions'!$H$45+'Assumptions'!$H$46*'Assumptions'!$B$5)*(1+'Assumptions'!$B$8)^0</x:f>
        <x:v>255000</x:v>
      </x:c>
      <x:c r="J34" s="98" t="n">
        <x:f>('Assumptions'!$H$45+'Assumptions'!$H$46*'Assumptions'!$B$5)*(1+'Assumptions'!$B$8)^0</x:f>
        <x:v>255000</x:v>
      </x:c>
      <x:c r="K34" s="98" t="n">
        <x:f>('Assumptions'!$H$45+'Assumptions'!$H$46*'Assumptions'!$B$5)*(1+'Assumptions'!$B$8)^0</x:f>
        <x:v>255000</x:v>
      </x:c>
      <x:c r="L34" s="98" t="n">
        <x:f>('Assumptions'!$H$45+'Assumptions'!$H$46*'Assumptions'!$B$5)*(1+'Assumptions'!$B$8)^0</x:f>
        <x:v>255000</x:v>
      </x:c>
      <x:c r="M34" s="98" t="n">
        <x:f>('Assumptions'!$H$45+'Assumptions'!$H$46*'Assumptions'!$B$5)*(1+'Assumptions'!$B$8)^0</x:f>
        <x:v>255000</x:v>
      </x:c>
      <x:c r="N34" s="98" t="n">
        <x:f>('Assumptions'!$H$45+'Assumptions'!$H$46*'Assumptions'!$B$5)*(1+'Assumptions'!$B$8)^1</x:f>
        <x:v>270300</x:v>
      </x:c>
      <x:c r="O34" s="98" t="n">
        <x:f>('Assumptions'!$H$45+'Assumptions'!$H$46*'Assumptions'!$B$5)*(1+'Assumptions'!$B$8)^1</x:f>
        <x:v>270300</x:v>
      </x:c>
      <x:c r="P34" s="98" t="n">
        <x:f>('Assumptions'!$H$45+'Assumptions'!$H$46*'Assumptions'!$B$5)*(1+'Assumptions'!$B$8)^1</x:f>
        <x:v>270300</x:v>
      </x:c>
      <x:c r="Q34" s="98" t="n">
        <x:f>('Assumptions'!$H$45+'Assumptions'!$H$46*'Assumptions'!$B$5)*(1+'Assumptions'!$B$8)^1</x:f>
        <x:v>270300</x:v>
      </x:c>
      <x:c r="R34" s="98" t="n">
        <x:f>('Assumptions'!$H$45+'Assumptions'!$H$46*'Assumptions'!$B$5)*(1+'Assumptions'!$B$8)^1</x:f>
        <x:v>270300</x:v>
      </x:c>
      <x:c r="S34" s="98" t="n">
        <x:f>('Assumptions'!$H$45+'Assumptions'!$H$46*'Assumptions'!$B$5)*(1+'Assumptions'!$B$8)^1</x:f>
        <x:v>270300</x:v>
      </x:c>
      <x:c r="T34" s="98" t="n">
        <x:f>('Assumptions'!$H$45+'Assumptions'!$H$46*'Assumptions'!$B$5)*(1+'Assumptions'!$B$8)^1</x:f>
        <x:v>270300</x:v>
      </x:c>
      <x:c r="U34" s="98" t="n">
        <x:f>('Assumptions'!$H$45+'Assumptions'!$H$46*'Assumptions'!$B$5)*(1+'Assumptions'!$B$8)^1</x:f>
        <x:v>270300</x:v>
      </x:c>
      <x:c r="V34" s="98" t="n">
        <x:f>('Assumptions'!$H$45+'Assumptions'!$H$46*'Assumptions'!$B$5)*(1+'Assumptions'!$B$8)^1</x:f>
        <x:v>270300</x:v>
      </x:c>
      <x:c r="W34" s="98" t="n">
        <x:f>('Assumptions'!$H$45+'Assumptions'!$H$46*'Assumptions'!$B$5)*(1+'Assumptions'!$B$8)^1</x:f>
        <x:v>270300</x:v>
      </x:c>
      <x:c r="X34" s="98" t="n">
        <x:f>('Assumptions'!$H$45+'Assumptions'!$H$46*'Assumptions'!$B$5)*(1+'Assumptions'!$B$8)^1</x:f>
        <x:v>270300</x:v>
      </x:c>
      <x:c r="Y34" s="98" t="n">
        <x:f>('Assumptions'!$H$45+'Assumptions'!$H$46*'Assumptions'!$B$5)*(1+'Assumptions'!$B$8)^1</x:f>
        <x:v>270300</x:v>
      </x:c>
      <x:c r="Z34" s="98" t="n">
        <x:f>('Assumptions'!$H$45+'Assumptions'!$H$46*'Assumptions'!$B$5)*(1+'Assumptions'!$B$8)^2</x:f>
        <x:v>286518.00000000006</x:v>
      </x:c>
      <x:c r="AA34" s="98" t="n">
        <x:f>('Assumptions'!$H$45+'Assumptions'!$H$46*'Assumptions'!$B$5)*(1+'Assumptions'!$B$8)^2</x:f>
        <x:v>286518.00000000006</x:v>
      </x:c>
      <x:c r="AB34" s="98" t="n">
        <x:f>('Assumptions'!$H$45+'Assumptions'!$H$46*'Assumptions'!$B$5)*(1+'Assumptions'!$B$8)^2</x:f>
        <x:v>286518.00000000006</x:v>
      </x:c>
      <x:c r="AC34" s="98" t="n">
        <x:f>('Assumptions'!$H$45+'Assumptions'!$H$46*'Assumptions'!$B$5)*(1+'Assumptions'!$B$8)^2</x:f>
        <x:v>286518.00000000006</x:v>
      </x:c>
      <x:c r="AD34" s="98" t="n">
        <x:f>('Assumptions'!$H$45+'Assumptions'!$H$46*'Assumptions'!$B$5)*(1+'Assumptions'!$B$8)^2</x:f>
        <x:v>286518.00000000006</x:v>
      </x:c>
      <x:c r="AE34" s="98" t="n">
        <x:f>('Assumptions'!$H$45+'Assumptions'!$H$46*'Assumptions'!$B$5)*(1+'Assumptions'!$B$8)^2</x:f>
        <x:v>286518.00000000006</x:v>
      </x:c>
      <x:c r="AF34" s="98" t="n">
        <x:f>('Assumptions'!$H$45+'Assumptions'!$H$46*'Assumptions'!$B$5)*(1+'Assumptions'!$B$8)^2</x:f>
        <x:v>286518.00000000006</x:v>
      </x:c>
      <x:c r="AG34" s="98" t="n">
        <x:f>('Assumptions'!$H$45+'Assumptions'!$H$46*'Assumptions'!$B$5)*(1+'Assumptions'!$B$8)^2</x:f>
        <x:v>286518.00000000006</x:v>
      </x:c>
      <x:c r="AH34" s="98" t="n">
        <x:f>('Assumptions'!$H$45+'Assumptions'!$H$46*'Assumptions'!$B$5)*(1+'Assumptions'!$B$8)^2</x:f>
        <x:v>286518.00000000006</x:v>
      </x:c>
      <x:c r="AI34" s="98" t="n">
        <x:f>('Assumptions'!$H$45+'Assumptions'!$H$46*'Assumptions'!$B$5)*(1+'Assumptions'!$B$8)^2</x:f>
        <x:v>286518.00000000006</x:v>
      </x:c>
      <x:c r="AJ34" s="98" t="n">
        <x:f>('Assumptions'!$H$45+'Assumptions'!$H$46*'Assumptions'!$B$5)*(1+'Assumptions'!$B$8)^2</x:f>
        <x:v>286518.00000000006</x:v>
      </x:c>
      <x:c r="AK34" s="98" t="n">
        <x:f>('Assumptions'!$H$45+'Assumptions'!$H$46*'Assumptions'!$B$5)*(1+'Assumptions'!$B$8)^2</x:f>
        <x:v>286518.00000000006</x:v>
      </x:c>
      <x:c r="AL34" s="80"/>
      <x:c r="AM34" s="80"/>
      <x:c r="AN34" s="80"/>
      <x:c r="AO34" s="80"/>
      <x:c r="AP34" s="80"/>
      <x:c r="AQ34" s="80"/>
      <x:c r="AR34" s="80"/>
      <x:c r="AS34" s="80"/>
      <x:c r="AT34" s="80"/>
      <x:c r="AU34" s="80"/>
      <x:c r="AV34" s="80"/>
      <x:c r="AW34" s="80"/>
      <x:c r="AX34" s="80"/>
      <x:c r="AY34" s="80"/>
      <x:c r="AZ34" s="80"/>
    </x:row>
    <x:row r="35">
      <x:c r="A35" s="80" t="str">
        <x:v>Ресепшн и продажи</x:v>
      </x:c>
      <x:c r="B35" s="98" t="n">
        <x:f>('Assumptions'!$H$47+'Assumptions'!$H$48*MAX(0,'Assumptions'!$B$5-7))*(1+'Assumptions'!$B$8)^0</x:f>
        <x:v>253000</x:v>
      </x:c>
      <x:c r="C35" s="98" t="n">
        <x:f>('Assumptions'!$H$47+'Assumptions'!$H$48*MAX(0,'Assumptions'!$B$5-7))*(1+'Assumptions'!$B$8)^0</x:f>
        <x:v>253000</x:v>
      </x:c>
      <x:c r="D35" s="98" t="n">
        <x:f>('Assumptions'!$H$47+'Assumptions'!$H$48*MAX(0,'Assumptions'!$B$5-7))*(1+'Assumptions'!$B$8)^0</x:f>
        <x:v>253000</x:v>
      </x:c>
      <x:c r="E35" s="98" t="n">
        <x:f>('Assumptions'!$H$47+'Assumptions'!$H$48*MAX(0,'Assumptions'!$B$5-7))*(1+'Assumptions'!$B$8)^0</x:f>
        <x:v>253000</x:v>
      </x:c>
      <x:c r="F35" s="98" t="n">
        <x:f>('Assumptions'!$H$47+'Assumptions'!$H$48*MAX(0,'Assumptions'!$B$5-7))*(1+'Assumptions'!$B$8)^0</x:f>
        <x:v>253000</x:v>
      </x:c>
      <x:c r="G35" s="98" t="n">
        <x:f>('Assumptions'!$H$47+'Assumptions'!$H$48*MAX(0,'Assumptions'!$B$5-7))*(1+'Assumptions'!$B$8)^0</x:f>
        <x:v>253000</x:v>
      </x:c>
      <x:c r="H35" s="98" t="n">
        <x:f>('Assumptions'!$H$47+'Assumptions'!$H$48*MAX(0,'Assumptions'!$B$5-7))*(1+'Assumptions'!$B$8)^0</x:f>
        <x:v>253000</x:v>
      </x:c>
      <x:c r="I35" s="98" t="n">
        <x:f>('Assumptions'!$H$47+'Assumptions'!$H$48*MAX(0,'Assumptions'!$B$5-7))*(1+'Assumptions'!$B$8)^0</x:f>
        <x:v>253000</x:v>
      </x:c>
      <x:c r="J35" s="98" t="n">
        <x:f>('Assumptions'!$H$47+'Assumptions'!$H$48*MAX(0,'Assumptions'!$B$5-7))*(1+'Assumptions'!$B$8)^0</x:f>
        <x:v>253000</x:v>
      </x:c>
      <x:c r="K35" s="98" t="n">
        <x:f>('Assumptions'!$H$47+'Assumptions'!$H$48*MAX(0,'Assumptions'!$B$5-7))*(1+'Assumptions'!$B$8)^0</x:f>
        <x:v>253000</x:v>
      </x:c>
      <x:c r="L35" s="98" t="n">
        <x:f>('Assumptions'!$H$47+'Assumptions'!$H$48*MAX(0,'Assumptions'!$B$5-7))*(1+'Assumptions'!$B$8)^0</x:f>
        <x:v>253000</x:v>
      </x:c>
      <x:c r="M35" s="98" t="n">
        <x:f>('Assumptions'!$H$47+'Assumptions'!$H$48*MAX(0,'Assumptions'!$B$5-7))*(1+'Assumptions'!$B$8)^0</x:f>
        <x:v>253000</x:v>
      </x:c>
      <x:c r="N35" s="98" t="n">
        <x:f>('Assumptions'!$H$47+'Assumptions'!$H$48*MAX(0,'Assumptions'!$B$5-7))*(1+'Assumptions'!$B$8)^1</x:f>
        <x:v>268180</x:v>
      </x:c>
      <x:c r="O35" s="98" t="n">
        <x:f>('Assumptions'!$H$47+'Assumptions'!$H$48*MAX(0,'Assumptions'!$B$5-7))*(1+'Assumptions'!$B$8)^1</x:f>
        <x:v>268180</x:v>
      </x:c>
      <x:c r="P35" s="98" t="n">
        <x:f>('Assumptions'!$H$47+'Assumptions'!$H$48*MAX(0,'Assumptions'!$B$5-7))*(1+'Assumptions'!$B$8)^1</x:f>
        <x:v>268180</x:v>
      </x:c>
      <x:c r="Q35" s="98" t="n">
        <x:f>('Assumptions'!$H$47+'Assumptions'!$H$48*MAX(0,'Assumptions'!$B$5-7))*(1+'Assumptions'!$B$8)^1</x:f>
        <x:v>268180</x:v>
      </x:c>
      <x:c r="R35" s="98" t="n">
        <x:f>('Assumptions'!$H$47+'Assumptions'!$H$48*MAX(0,'Assumptions'!$B$5-7))*(1+'Assumptions'!$B$8)^1</x:f>
        <x:v>268180</x:v>
      </x:c>
      <x:c r="S35" s="98" t="n">
        <x:f>('Assumptions'!$H$47+'Assumptions'!$H$48*MAX(0,'Assumptions'!$B$5-7))*(1+'Assumptions'!$B$8)^1</x:f>
        <x:v>268180</x:v>
      </x:c>
      <x:c r="T35" s="98" t="n">
        <x:f>('Assumptions'!$H$47+'Assumptions'!$H$48*MAX(0,'Assumptions'!$B$5-7))*(1+'Assumptions'!$B$8)^1</x:f>
        <x:v>268180</x:v>
      </x:c>
      <x:c r="U35" s="98" t="n">
        <x:f>('Assumptions'!$H$47+'Assumptions'!$H$48*MAX(0,'Assumptions'!$B$5-7))*(1+'Assumptions'!$B$8)^1</x:f>
        <x:v>268180</x:v>
      </x:c>
      <x:c r="V35" s="98" t="n">
        <x:f>('Assumptions'!$H$47+'Assumptions'!$H$48*MAX(0,'Assumptions'!$B$5-7))*(1+'Assumptions'!$B$8)^1</x:f>
        <x:v>268180</x:v>
      </x:c>
      <x:c r="W35" s="98" t="n">
        <x:f>('Assumptions'!$H$47+'Assumptions'!$H$48*MAX(0,'Assumptions'!$B$5-7))*(1+'Assumptions'!$B$8)^1</x:f>
        <x:v>268180</x:v>
      </x:c>
      <x:c r="X35" s="98" t="n">
        <x:f>('Assumptions'!$H$47+'Assumptions'!$H$48*MAX(0,'Assumptions'!$B$5-7))*(1+'Assumptions'!$B$8)^1</x:f>
        <x:v>268180</x:v>
      </x:c>
      <x:c r="Y35" s="98" t="n">
        <x:f>('Assumptions'!$H$47+'Assumptions'!$H$48*MAX(0,'Assumptions'!$B$5-7))*(1+'Assumptions'!$B$8)^1</x:f>
        <x:v>268180</x:v>
      </x:c>
      <x:c r="Z35" s="98" t="n">
        <x:f>('Assumptions'!$H$47+'Assumptions'!$H$48*MAX(0,'Assumptions'!$B$5-7))*(1+'Assumptions'!$B$8)^2</x:f>
        <x:v>284270.80000000005</x:v>
      </x:c>
      <x:c r="AA35" s="98" t="n">
        <x:f>('Assumptions'!$H$47+'Assumptions'!$H$48*MAX(0,'Assumptions'!$B$5-7))*(1+'Assumptions'!$B$8)^2</x:f>
        <x:v>284270.80000000005</x:v>
      </x:c>
      <x:c r="AB35" s="98" t="n">
        <x:f>('Assumptions'!$H$47+'Assumptions'!$H$48*MAX(0,'Assumptions'!$B$5-7))*(1+'Assumptions'!$B$8)^2</x:f>
        <x:v>284270.80000000005</x:v>
      </x:c>
      <x:c r="AC35" s="98" t="n">
        <x:f>('Assumptions'!$H$47+'Assumptions'!$H$48*MAX(0,'Assumptions'!$B$5-7))*(1+'Assumptions'!$B$8)^2</x:f>
        <x:v>284270.80000000005</x:v>
      </x:c>
      <x:c r="AD35" s="98" t="n">
        <x:f>('Assumptions'!$H$47+'Assumptions'!$H$48*MAX(0,'Assumptions'!$B$5-7))*(1+'Assumptions'!$B$8)^2</x:f>
        <x:v>284270.80000000005</x:v>
      </x:c>
      <x:c r="AE35" s="98" t="n">
        <x:f>('Assumptions'!$H$47+'Assumptions'!$H$48*MAX(0,'Assumptions'!$B$5-7))*(1+'Assumptions'!$B$8)^2</x:f>
        <x:v>284270.80000000005</x:v>
      </x:c>
      <x:c r="AF35" s="98" t="n">
        <x:f>('Assumptions'!$H$47+'Assumptions'!$H$48*MAX(0,'Assumptions'!$B$5-7))*(1+'Assumptions'!$B$8)^2</x:f>
        <x:v>284270.80000000005</x:v>
      </x:c>
      <x:c r="AG35" s="98" t="n">
        <x:f>('Assumptions'!$H$47+'Assumptions'!$H$48*MAX(0,'Assumptions'!$B$5-7))*(1+'Assumptions'!$B$8)^2</x:f>
        <x:v>284270.80000000005</x:v>
      </x:c>
      <x:c r="AH35" s="98" t="n">
        <x:f>('Assumptions'!$H$47+'Assumptions'!$H$48*MAX(0,'Assumptions'!$B$5-7))*(1+'Assumptions'!$B$8)^2</x:f>
        <x:v>284270.80000000005</x:v>
      </x:c>
      <x:c r="AI35" s="98" t="n">
        <x:f>('Assumptions'!$H$47+'Assumptions'!$H$48*MAX(0,'Assumptions'!$B$5-7))*(1+'Assumptions'!$B$8)^2</x:f>
        <x:v>284270.80000000005</x:v>
      </x:c>
      <x:c r="AJ35" s="98" t="n">
        <x:f>('Assumptions'!$H$47+'Assumptions'!$H$48*MAX(0,'Assumptions'!$B$5-7))*(1+'Assumptions'!$B$8)^2</x:f>
        <x:v>284270.80000000005</x:v>
      </x:c>
      <x:c r="AK35" s="98" t="n">
        <x:f>('Assumptions'!$H$47+'Assumptions'!$H$48*MAX(0,'Assumptions'!$B$5-7))*(1+'Assumptions'!$B$8)^2</x:f>
        <x:v>284270.80000000005</x:v>
      </x:c>
      <x:c r="AL35" s="80"/>
      <x:c r="AM35" s="80"/>
      <x:c r="AN35" s="80"/>
      <x:c r="AO35" s="80"/>
      <x:c r="AP35" s="80"/>
      <x:c r="AQ35" s="80"/>
      <x:c r="AR35" s="80"/>
      <x:c r="AS35" s="80"/>
      <x:c r="AT35" s="80"/>
      <x:c r="AU35" s="80"/>
      <x:c r="AV35" s="80"/>
      <x:c r="AW35" s="80"/>
      <x:c r="AX35" s="80"/>
      <x:c r="AY35" s="80"/>
      <x:c r="AZ35" s="80"/>
    </x:row>
    <x:row r="36">
      <x:c r="A36" s="80" t="str">
        <x:v>Охрана</x:v>
      </x:c>
      <x:c r="B36" s="98" t="n">
        <x:f>'Assumptions'!$H$49*(1+'Assumptions'!$B$8)^0</x:f>
        <x:v>190000</x:v>
      </x:c>
      <x:c r="C36" s="98" t="n">
        <x:f>'Assumptions'!$H$49*(1+'Assumptions'!$B$8)^0</x:f>
        <x:v>190000</x:v>
      </x:c>
      <x:c r="D36" s="98" t="n">
        <x:f>'Assumptions'!$H$49*(1+'Assumptions'!$B$8)^0</x:f>
        <x:v>190000</x:v>
      </x:c>
      <x:c r="E36" s="98" t="n">
        <x:f>'Assumptions'!$H$49*(1+'Assumptions'!$B$8)^0</x:f>
        <x:v>190000</x:v>
      </x:c>
      <x:c r="F36" s="98" t="n">
        <x:f>'Assumptions'!$H$49*(1+'Assumptions'!$B$8)^0</x:f>
        <x:v>190000</x:v>
      </x:c>
      <x:c r="G36" s="98" t="n">
        <x:f>'Assumptions'!$H$49*(1+'Assumptions'!$B$8)^0</x:f>
        <x:v>190000</x:v>
      </x:c>
      <x:c r="H36" s="98" t="n">
        <x:f>'Assumptions'!$H$49*(1+'Assumptions'!$B$8)^0</x:f>
        <x:v>190000</x:v>
      </x:c>
      <x:c r="I36" s="98" t="n">
        <x:f>'Assumptions'!$H$49*(1+'Assumptions'!$B$8)^0</x:f>
        <x:v>190000</x:v>
      </x:c>
      <x:c r="J36" s="98" t="n">
        <x:f>'Assumptions'!$H$49*(1+'Assumptions'!$B$8)^0</x:f>
        <x:v>190000</x:v>
      </x:c>
      <x:c r="K36" s="98" t="n">
        <x:f>'Assumptions'!$H$49*(1+'Assumptions'!$B$8)^0</x:f>
        <x:v>190000</x:v>
      </x:c>
      <x:c r="L36" s="98" t="n">
        <x:f>'Assumptions'!$H$49*(1+'Assumptions'!$B$8)^0</x:f>
        <x:v>190000</x:v>
      </x:c>
      <x:c r="M36" s="98" t="n">
        <x:f>'Assumptions'!$H$49*(1+'Assumptions'!$B$8)^0</x:f>
        <x:v>190000</x:v>
      </x:c>
      <x:c r="N36" s="98" t="n">
        <x:f>'Assumptions'!$H$49*(1+'Assumptions'!$B$8)^1</x:f>
        <x:v>201400</x:v>
      </x:c>
      <x:c r="O36" s="98" t="n">
        <x:f>'Assumptions'!$H$49*(1+'Assumptions'!$B$8)^1</x:f>
        <x:v>201400</x:v>
      </x:c>
      <x:c r="P36" s="98" t="n">
        <x:f>'Assumptions'!$H$49*(1+'Assumptions'!$B$8)^1</x:f>
        <x:v>201400</x:v>
      </x:c>
      <x:c r="Q36" s="98" t="n">
        <x:f>'Assumptions'!$H$49*(1+'Assumptions'!$B$8)^1</x:f>
        <x:v>201400</x:v>
      </x:c>
      <x:c r="R36" s="98" t="n">
        <x:f>'Assumptions'!$H$49*(1+'Assumptions'!$B$8)^1</x:f>
        <x:v>201400</x:v>
      </x:c>
      <x:c r="S36" s="98" t="n">
        <x:f>'Assumptions'!$H$49*(1+'Assumptions'!$B$8)^1</x:f>
        <x:v>201400</x:v>
      </x:c>
      <x:c r="T36" s="98" t="n">
        <x:f>'Assumptions'!$H$49*(1+'Assumptions'!$B$8)^1</x:f>
        <x:v>201400</x:v>
      </x:c>
      <x:c r="U36" s="98" t="n">
        <x:f>'Assumptions'!$H$49*(1+'Assumptions'!$B$8)^1</x:f>
        <x:v>201400</x:v>
      </x:c>
      <x:c r="V36" s="98" t="n">
        <x:f>'Assumptions'!$H$49*(1+'Assumptions'!$B$8)^1</x:f>
        <x:v>201400</x:v>
      </x:c>
      <x:c r="W36" s="98" t="n">
        <x:f>'Assumptions'!$H$49*(1+'Assumptions'!$B$8)^1</x:f>
        <x:v>201400</x:v>
      </x:c>
      <x:c r="X36" s="98" t="n">
        <x:f>'Assumptions'!$H$49*(1+'Assumptions'!$B$8)^1</x:f>
        <x:v>201400</x:v>
      </x:c>
      <x:c r="Y36" s="98" t="n">
        <x:f>'Assumptions'!$H$49*(1+'Assumptions'!$B$8)^1</x:f>
        <x:v>201400</x:v>
      </x:c>
      <x:c r="Z36" s="98" t="n">
        <x:f>'Assumptions'!$H$49*(1+'Assumptions'!$B$8)^2</x:f>
        <x:v>213484.00000000003</x:v>
      </x:c>
      <x:c r="AA36" s="98" t="n">
        <x:f>'Assumptions'!$H$49*(1+'Assumptions'!$B$8)^2</x:f>
        <x:v>213484.00000000003</x:v>
      </x:c>
      <x:c r="AB36" s="98" t="n">
        <x:f>'Assumptions'!$H$49*(1+'Assumptions'!$B$8)^2</x:f>
        <x:v>213484.00000000003</x:v>
      </x:c>
      <x:c r="AC36" s="98" t="n">
        <x:f>'Assumptions'!$H$49*(1+'Assumptions'!$B$8)^2</x:f>
        <x:v>213484.00000000003</x:v>
      </x:c>
      <x:c r="AD36" s="98" t="n">
        <x:f>'Assumptions'!$H$49*(1+'Assumptions'!$B$8)^2</x:f>
        <x:v>213484.00000000003</x:v>
      </x:c>
      <x:c r="AE36" s="98" t="n">
        <x:f>'Assumptions'!$H$49*(1+'Assumptions'!$B$8)^2</x:f>
        <x:v>213484.00000000003</x:v>
      </x:c>
      <x:c r="AF36" s="98" t="n">
        <x:f>'Assumptions'!$H$49*(1+'Assumptions'!$B$8)^2</x:f>
        <x:v>213484.00000000003</x:v>
      </x:c>
      <x:c r="AG36" s="98" t="n">
        <x:f>'Assumptions'!$H$49*(1+'Assumptions'!$B$8)^2</x:f>
        <x:v>213484.00000000003</x:v>
      </x:c>
      <x:c r="AH36" s="98" t="n">
        <x:f>'Assumptions'!$H$49*(1+'Assumptions'!$B$8)^2</x:f>
        <x:v>213484.00000000003</x:v>
      </x:c>
      <x:c r="AI36" s="98" t="n">
        <x:f>'Assumptions'!$H$49*(1+'Assumptions'!$B$8)^2</x:f>
        <x:v>213484.00000000003</x:v>
      </x:c>
      <x:c r="AJ36" s="98" t="n">
        <x:f>'Assumptions'!$H$49*(1+'Assumptions'!$B$8)^2</x:f>
        <x:v>213484.00000000003</x:v>
      </x:c>
      <x:c r="AK36" s="98" t="n">
        <x:f>'Assumptions'!$H$49*(1+'Assumptions'!$B$8)^2</x:f>
        <x:v>213484.00000000003</x:v>
      </x:c>
      <x:c r="AL36" s="80"/>
      <x:c r="AM36" s="80"/>
      <x:c r="AN36" s="80"/>
      <x:c r="AO36" s="80"/>
      <x:c r="AP36" s="80"/>
      <x:c r="AQ36" s="80"/>
      <x:c r="AR36" s="80"/>
      <x:c r="AS36" s="80"/>
      <x:c r="AT36" s="80"/>
      <x:c r="AU36" s="80"/>
      <x:c r="AV36" s="80"/>
      <x:c r="AW36" s="80"/>
      <x:c r="AX36" s="80"/>
      <x:c r="AY36" s="80"/>
      <x:c r="AZ36" s="80"/>
    </x:row>
    <x:row r="37">
      <x:c r="A37" s="80" t="str">
        <x:v>Управление</x:v>
      </x:c>
      <x:c r="B37" s="98" t="n">
        <x:f>'Assumptions'!$H$50*(1+'Assumptions'!$B$8)^0</x:f>
        <x:v>190000</x:v>
      </x:c>
      <x:c r="C37" s="98" t="n">
        <x:f>'Assumptions'!$H$50*(1+'Assumptions'!$B$8)^0</x:f>
        <x:v>190000</x:v>
      </x:c>
      <x:c r="D37" s="98" t="n">
        <x:f>'Assumptions'!$H$50*(1+'Assumptions'!$B$8)^0</x:f>
        <x:v>190000</x:v>
      </x:c>
      <x:c r="E37" s="98" t="n">
        <x:f>'Assumptions'!$H$50*(1+'Assumptions'!$B$8)^0</x:f>
        <x:v>190000</x:v>
      </x:c>
      <x:c r="F37" s="98" t="n">
        <x:f>'Assumptions'!$H$50*(1+'Assumptions'!$B$8)^0</x:f>
        <x:v>190000</x:v>
      </x:c>
      <x:c r="G37" s="98" t="n">
        <x:f>'Assumptions'!$H$50*(1+'Assumptions'!$B$8)^0</x:f>
        <x:v>190000</x:v>
      </x:c>
      <x:c r="H37" s="98" t="n">
        <x:f>'Assumptions'!$H$50*(1+'Assumptions'!$B$8)^0</x:f>
        <x:v>190000</x:v>
      </x:c>
      <x:c r="I37" s="98" t="n">
        <x:f>'Assumptions'!$H$50*(1+'Assumptions'!$B$8)^0</x:f>
        <x:v>190000</x:v>
      </x:c>
      <x:c r="J37" s="98" t="n">
        <x:f>'Assumptions'!$H$50*(1+'Assumptions'!$B$8)^0</x:f>
        <x:v>190000</x:v>
      </x:c>
      <x:c r="K37" s="98" t="n">
        <x:f>'Assumptions'!$H$50*(1+'Assumptions'!$B$8)^0</x:f>
        <x:v>190000</x:v>
      </x:c>
      <x:c r="L37" s="98" t="n">
        <x:f>'Assumptions'!$H$50*(1+'Assumptions'!$B$8)^0</x:f>
        <x:v>190000</x:v>
      </x:c>
      <x:c r="M37" s="98" t="n">
        <x:f>'Assumptions'!$H$50*(1+'Assumptions'!$B$8)^0</x:f>
        <x:v>190000</x:v>
      </x:c>
      <x:c r="N37" s="98" t="n">
        <x:f>'Assumptions'!$H$50*(1+'Assumptions'!$B$8)^1</x:f>
        <x:v>201400</x:v>
      </x:c>
      <x:c r="O37" s="98" t="n">
        <x:f>'Assumptions'!$H$50*(1+'Assumptions'!$B$8)^1</x:f>
        <x:v>201400</x:v>
      </x:c>
      <x:c r="P37" s="98" t="n">
        <x:f>'Assumptions'!$H$50*(1+'Assumptions'!$B$8)^1</x:f>
        <x:v>201400</x:v>
      </x:c>
      <x:c r="Q37" s="98" t="n">
        <x:f>'Assumptions'!$H$50*(1+'Assumptions'!$B$8)^1</x:f>
        <x:v>201400</x:v>
      </x:c>
      <x:c r="R37" s="98" t="n">
        <x:f>'Assumptions'!$H$50*(1+'Assumptions'!$B$8)^1</x:f>
        <x:v>201400</x:v>
      </x:c>
      <x:c r="S37" s="98" t="n">
        <x:f>'Assumptions'!$H$50*(1+'Assumptions'!$B$8)^1</x:f>
        <x:v>201400</x:v>
      </x:c>
      <x:c r="T37" s="98" t="n">
        <x:f>'Assumptions'!$H$50*(1+'Assumptions'!$B$8)^1</x:f>
        <x:v>201400</x:v>
      </x:c>
      <x:c r="U37" s="98" t="n">
        <x:f>'Assumptions'!$H$50*(1+'Assumptions'!$B$8)^1</x:f>
        <x:v>201400</x:v>
      </x:c>
      <x:c r="V37" s="98" t="n">
        <x:f>'Assumptions'!$H$50*(1+'Assumptions'!$B$8)^1</x:f>
        <x:v>201400</x:v>
      </x:c>
      <x:c r="W37" s="98" t="n">
        <x:f>'Assumptions'!$H$50*(1+'Assumptions'!$B$8)^1</x:f>
        <x:v>201400</x:v>
      </x:c>
      <x:c r="X37" s="98" t="n">
        <x:f>'Assumptions'!$H$50*(1+'Assumptions'!$B$8)^1</x:f>
        <x:v>201400</x:v>
      </x:c>
      <x:c r="Y37" s="98" t="n">
        <x:f>'Assumptions'!$H$50*(1+'Assumptions'!$B$8)^1</x:f>
        <x:v>201400</x:v>
      </x:c>
      <x:c r="Z37" s="98" t="n">
        <x:f>'Assumptions'!$H$50*(1+'Assumptions'!$B$8)^2</x:f>
        <x:v>213484.00000000003</x:v>
      </x:c>
      <x:c r="AA37" s="98" t="n">
        <x:f>'Assumptions'!$H$50*(1+'Assumptions'!$B$8)^2</x:f>
        <x:v>213484.00000000003</x:v>
      </x:c>
      <x:c r="AB37" s="98" t="n">
        <x:f>'Assumptions'!$H$50*(1+'Assumptions'!$B$8)^2</x:f>
        <x:v>213484.00000000003</x:v>
      </x:c>
      <x:c r="AC37" s="98" t="n">
        <x:f>'Assumptions'!$H$50*(1+'Assumptions'!$B$8)^2</x:f>
        <x:v>213484.00000000003</x:v>
      </x:c>
      <x:c r="AD37" s="98" t="n">
        <x:f>'Assumptions'!$H$50*(1+'Assumptions'!$B$8)^2</x:f>
        <x:v>213484.00000000003</x:v>
      </x:c>
      <x:c r="AE37" s="98" t="n">
        <x:f>'Assumptions'!$H$50*(1+'Assumptions'!$B$8)^2</x:f>
        <x:v>213484.00000000003</x:v>
      </x:c>
      <x:c r="AF37" s="98" t="n">
        <x:f>'Assumptions'!$H$50*(1+'Assumptions'!$B$8)^2</x:f>
        <x:v>213484.00000000003</x:v>
      </x:c>
      <x:c r="AG37" s="98" t="n">
        <x:f>'Assumptions'!$H$50*(1+'Assumptions'!$B$8)^2</x:f>
        <x:v>213484.00000000003</x:v>
      </x:c>
      <x:c r="AH37" s="98" t="n">
        <x:f>'Assumptions'!$H$50*(1+'Assumptions'!$B$8)^2</x:f>
        <x:v>213484.00000000003</x:v>
      </x:c>
      <x:c r="AI37" s="98" t="n">
        <x:f>'Assumptions'!$H$50*(1+'Assumptions'!$B$8)^2</x:f>
        <x:v>213484.00000000003</x:v>
      </x:c>
      <x:c r="AJ37" s="98" t="n">
        <x:f>'Assumptions'!$H$50*(1+'Assumptions'!$B$8)^2</x:f>
        <x:v>213484.00000000003</x:v>
      </x:c>
      <x:c r="AK37" s="98" t="n">
        <x:f>'Assumptions'!$H$50*(1+'Assumptions'!$B$8)^2</x:f>
        <x:v>213484.00000000003</x:v>
      </x:c>
      <x:c r="AL37" s="80"/>
      <x:c r="AM37" s="80"/>
      <x:c r="AN37" s="80"/>
      <x:c r="AO37" s="80"/>
      <x:c r="AP37" s="80"/>
      <x:c r="AQ37" s="80"/>
      <x:c r="AR37" s="80"/>
      <x:c r="AS37" s="80"/>
      <x:c r="AT37" s="80"/>
      <x:c r="AU37" s="80"/>
      <x:c r="AV37" s="80"/>
      <x:c r="AW37" s="80"/>
      <x:c r="AX37" s="80"/>
      <x:c r="AY37" s="80"/>
      <x:c r="AZ37" s="80"/>
    </x:row>
    <x:row r="38">
      <x:c r="A38" s="80" t="str">
        <x:v>Страховые начисления proxy</x:v>
      </x:c>
      <x:c r="B38" s="98" t="n">
        <x:f>SUM(B34:B37)*'Assumptions'!$H$51</x:f>
        <x:v>266400</x:v>
      </x:c>
      <x:c r="C38" s="98" t="n">
        <x:f>SUM(C34:C37)*'Assumptions'!$H$51</x:f>
        <x:v>266400</x:v>
      </x:c>
      <x:c r="D38" s="98" t="n">
        <x:f>SUM(D34:D37)*'Assumptions'!$H$51</x:f>
        <x:v>266400</x:v>
      </x:c>
      <x:c r="E38" s="98" t="n">
        <x:f>SUM(E34:E37)*'Assumptions'!$H$51</x:f>
        <x:v>266400</x:v>
      </x:c>
      <x:c r="F38" s="98" t="n">
        <x:f>SUM(F34:F37)*'Assumptions'!$H$51</x:f>
        <x:v>266400</x:v>
      </x:c>
      <x:c r="G38" s="98" t="n">
        <x:f>SUM(G34:G37)*'Assumptions'!$H$51</x:f>
        <x:v>266400</x:v>
      </x:c>
      <x:c r="H38" s="98" t="n">
        <x:f>SUM(H34:H37)*'Assumptions'!$H$51</x:f>
        <x:v>266400</x:v>
      </x:c>
      <x:c r="I38" s="98" t="n">
        <x:f>SUM(I34:I37)*'Assumptions'!$H$51</x:f>
        <x:v>266400</x:v>
      </x:c>
      <x:c r="J38" s="98" t="n">
        <x:f>SUM(J34:J37)*'Assumptions'!$H$51</x:f>
        <x:v>266400</x:v>
      </x:c>
      <x:c r="K38" s="98" t="n">
        <x:f>SUM(K34:K37)*'Assumptions'!$H$51</x:f>
        <x:v>266400</x:v>
      </x:c>
      <x:c r="L38" s="98" t="n">
        <x:f>SUM(L34:L37)*'Assumptions'!$H$51</x:f>
        <x:v>266400</x:v>
      </x:c>
      <x:c r="M38" s="98" t="n">
        <x:f>SUM(M34:M37)*'Assumptions'!$H$51</x:f>
        <x:v>266400</x:v>
      </x:c>
      <x:c r="N38" s="98" t="n">
        <x:f>SUM(N34:N37)*'Assumptions'!$H$51</x:f>
        <x:v>282384</x:v>
      </x:c>
      <x:c r="O38" s="98" t="n">
        <x:f>SUM(O34:O37)*'Assumptions'!$H$51</x:f>
        <x:v>282384</x:v>
      </x:c>
      <x:c r="P38" s="98" t="n">
        <x:f>SUM(P34:P37)*'Assumptions'!$H$51</x:f>
        <x:v>282384</x:v>
      </x:c>
      <x:c r="Q38" s="98" t="n">
        <x:f>SUM(Q34:Q37)*'Assumptions'!$H$51</x:f>
        <x:v>282384</x:v>
      </x:c>
      <x:c r="R38" s="98" t="n">
        <x:f>SUM(R34:R37)*'Assumptions'!$H$51</x:f>
        <x:v>282384</x:v>
      </x:c>
      <x:c r="S38" s="98" t="n">
        <x:f>SUM(S34:S37)*'Assumptions'!$H$51</x:f>
        <x:v>282384</x:v>
      </x:c>
      <x:c r="T38" s="98" t="n">
        <x:f>SUM(T34:T37)*'Assumptions'!$H$51</x:f>
        <x:v>282384</x:v>
      </x:c>
      <x:c r="U38" s="98" t="n">
        <x:f>SUM(U34:U37)*'Assumptions'!$H$51</x:f>
        <x:v>282384</x:v>
      </x:c>
      <x:c r="V38" s="98" t="n">
        <x:f>SUM(V34:V37)*'Assumptions'!$H$51</x:f>
        <x:v>282384</x:v>
      </x:c>
      <x:c r="W38" s="98" t="n">
        <x:f>SUM(W34:W37)*'Assumptions'!$H$51</x:f>
        <x:v>282384</x:v>
      </x:c>
      <x:c r="X38" s="98" t="n">
        <x:f>SUM(X34:X37)*'Assumptions'!$H$51</x:f>
        <x:v>282384</x:v>
      </x:c>
      <x:c r="Y38" s="98" t="n">
        <x:f>SUM(Y34:Y37)*'Assumptions'!$H$51</x:f>
        <x:v>282384</x:v>
      </x:c>
      <x:c r="Z38" s="98" t="n">
        <x:f>SUM(Z34:Z37)*'Assumptions'!$H$51</x:f>
        <x:v>299327.04</x:v>
      </x:c>
      <x:c r="AA38" s="98" t="n">
        <x:f>SUM(AA34:AA37)*'Assumptions'!$H$51</x:f>
        <x:v>299327.04</x:v>
      </x:c>
      <x:c r="AB38" s="98" t="n">
        <x:f>SUM(AB34:AB37)*'Assumptions'!$H$51</x:f>
        <x:v>299327.04</x:v>
      </x:c>
      <x:c r="AC38" s="98" t="n">
        <x:f>SUM(AC34:AC37)*'Assumptions'!$H$51</x:f>
        <x:v>299327.04</x:v>
      </x:c>
      <x:c r="AD38" s="98" t="n">
        <x:f>SUM(AD34:AD37)*'Assumptions'!$H$51</x:f>
        <x:v>299327.04</x:v>
      </x:c>
      <x:c r="AE38" s="98" t="n">
        <x:f>SUM(AE34:AE37)*'Assumptions'!$H$51</x:f>
        <x:v>299327.04</x:v>
      </x:c>
      <x:c r="AF38" s="98" t="n">
        <x:f>SUM(AF34:AF37)*'Assumptions'!$H$51</x:f>
        <x:v>299327.04</x:v>
      </x:c>
      <x:c r="AG38" s="98" t="n">
        <x:f>SUM(AG34:AG37)*'Assumptions'!$H$51</x:f>
        <x:v>299327.04</x:v>
      </x:c>
      <x:c r="AH38" s="98" t="n">
        <x:f>SUM(AH34:AH37)*'Assumptions'!$H$51</x:f>
        <x:v>299327.04</x:v>
      </x:c>
      <x:c r="AI38" s="98" t="n">
        <x:f>SUM(AI34:AI37)*'Assumptions'!$H$51</x:f>
        <x:v>299327.04</x:v>
      </x:c>
      <x:c r="AJ38" s="98" t="n">
        <x:f>SUM(AJ34:AJ37)*'Assumptions'!$H$51</x:f>
        <x:v>299327.04</x:v>
      </x:c>
      <x:c r="AK38" s="98" t="n">
        <x:f>SUM(AK34:AK37)*'Assumptions'!$H$51</x:f>
        <x:v>299327.04</x:v>
      </x:c>
      <x:c r="AL38" s="80"/>
      <x:c r="AM38" s="80"/>
      <x:c r="AN38" s="80"/>
      <x:c r="AO38" s="80"/>
      <x:c r="AP38" s="80"/>
      <x:c r="AQ38" s="80"/>
      <x:c r="AR38" s="80"/>
      <x:c r="AS38" s="80"/>
      <x:c r="AT38" s="80"/>
      <x:c r="AU38" s="80"/>
      <x:c r="AV38" s="80"/>
      <x:c r="AW38" s="80"/>
      <x:c r="AX38" s="80"/>
      <x:c r="AY38" s="80"/>
      <x:c r="AZ38" s="80"/>
    </x:row>
    <x:row r="39">
      <x:c r="A39" s="99" t="str">
        <x:v>TOTAL PAYROLL</x:v>
      </x:c>
      <x:c r="B39" s="100" t="n">
        <x:f>SUM(B34:B38)</x:f>
        <x:v>1154400</x:v>
      </x:c>
      <x:c r="C39" s="100" t="n">
        <x:f>SUM(C34:C38)</x:f>
        <x:v>1154400</x:v>
      </x:c>
      <x:c r="D39" s="100" t="n">
        <x:f>SUM(D34:D38)</x:f>
        <x:v>1154400</x:v>
      </x:c>
      <x:c r="E39" s="100" t="n">
        <x:f>SUM(E34:E38)</x:f>
        <x:v>1154400</x:v>
      </x:c>
      <x:c r="F39" s="100" t="n">
        <x:f>SUM(F34:F38)</x:f>
        <x:v>1154400</x:v>
      </x:c>
      <x:c r="G39" s="100" t="n">
        <x:f>SUM(G34:G38)</x:f>
        <x:v>1154400</x:v>
      </x:c>
      <x:c r="H39" s="100" t="n">
        <x:f>SUM(H34:H38)</x:f>
        <x:v>1154400</x:v>
      </x:c>
      <x:c r="I39" s="100" t="n">
        <x:f>SUM(I34:I38)</x:f>
        <x:v>1154400</x:v>
      </x:c>
      <x:c r="J39" s="100" t="n">
        <x:f>SUM(J34:J38)</x:f>
        <x:v>1154400</x:v>
      </x:c>
      <x:c r="K39" s="100" t="n">
        <x:f>SUM(K34:K38)</x:f>
        <x:v>1154400</x:v>
      </x:c>
      <x:c r="L39" s="100" t="n">
        <x:f>SUM(L34:L38)</x:f>
        <x:v>1154400</x:v>
      </x:c>
      <x:c r="M39" s="100" t="n">
        <x:f>SUM(M34:M38)</x:f>
        <x:v>1154400</x:v>
      </x:c>
      <x:c r="N39" s="100" t="n">
        <x:f>SUM(N34:N38)</x:f>
        <x:v>1223664</x:v>
      </x:c>
      <x:c r="O39" s="100" t="n">
        <x:f>SUM(O34:O38)</x:f>
        <x:v>1223664</x:v>
      </x:c>
      <x:c r="P39" s="100" t="n">
        <x:f>SUM(P34:P38)</x:f>
        <x:v>1223664</x:v>
      </x:c>
      <x:c r="Q39" s="100" t="n">
        <x:f>SUM(Q34:Q38)</x:f>
        <x:v>1223664</x:v>
      </x:c>
      <x:c r="R39" s="100" t="n">
        <x:f>SUM(R34:R38)</x:f>
        <x:v>1223664</x:v>
      </x:c>
      <x:c r="S39" s="100" t="n">
        <x:f>SUM(S34:S38)</x:f>
        <x:v>1223664</x:v>
      </x:c>
      <x:c r="T39" s="100" t="n">
        <x:f>SUM(T34:T38)</x:f>
        <x:v>1223664</x:v>
      </x:c>
      <x:c r="U39" s="100" t="n">
        <x:f>SUM(U34:U38)</x:f>
        <x:v>1223664</x:v>
      </x:c>
      <x:c r="V39" s="100" t="n">
        <x:f>SUM(V34:V38)</x:f>
        <x:v>1223664</x:v>
      </x:c>
      <x:c r="W39" s="100" t="n">
        <x:f>SUM(W34:W38)</x:f>
        <x:v>1223664</x:v>
      </x:c>
      <x:c r="X39" s="100" t="n">
        <x:f>SUM(X34:X38)</x:f>
        <x:v>1223664</x:v>
      </x:c>
      <x:c r="Y39" s="100" t="n">
        <x:f>SUM(Y34:Y38)</x:f>
        <x:v>1223664</x:v>
      </x:c>
      <x:c r="Z39" s="100" t="n">
        <x:f>SUM(Z34:Z38)</x:f>
        <x:v>1297083.84</x:v>
      </x:c>
      <x:c r="AA39" s="100" t="n">
        <x:f>SUM(AA34:AA38)</x:f>
        <x:v>1297083.84</x:v>
      </x:c>
      <x:c r="AB39" s="100" t="n">
        <x:f>SUM(AB34:AB38)</x:f>
        <x:v>1297083.84</x:v>
      </x:c>
      <x:c r="AC39" s="100" t="n">
        <x:f>SUM(AC34:AC38)</x:f>
        <x:v>1297083.84</x:v>
      </x:c>
      <x:c r="AD39" s="100" t="n">
        <x:f>SUM(AD34:AD38)</x:f>
        <x:v>1297083.84</x:v>
      </x:c>
      <x:c r="AE39" s="100" t="n">
        <x:f>SUM(AE34:AE38)</x:f>
        <x:v>1297083.84</x:v>
      </x:c>
      <x:c r="AF39" s="100" t="n">
        <x:f>SUM(AF34:AF38)</x:f>
        <x:v>1297083.84</x:v>
      </x:c>
      <x:c r="AG39" s="100" t="n">
        <x:f>SUM(AG34:AG38)</x:f>
        <x:v>1297083.84</x:v>
      </x:c>
      <x:c r="AH39" s="100" t="n">
        <x:f>SUM(AH34:AH38)</x:f>
        <x:v>1297083.84</x:v>
      </x:c>
      <x:c r="AI39" s="100" t="n">
        <x:f>SUM(AI34:AI38)</x:f>
        <x:v>1297083.84</x:v>
      </x:c>
      <x:c r="AJ39" s="100" t="n">
        <x:f>SUM(AJ34:AJ38)</x:f>
        <x:v>1297083.84</x:v>
      </x:c>
      <x:c r="AK39" s="100" t="n">
        <x:f>SUM(AK34:AK38)</x:f>
        <x:v>1297083.84</x:v>
      </x:c>
      <x:c r="AL39" s="80"/>
      <x:c r="AM39" s="80"/>
      <x:c r="AN39" s="80"/>
      <x:c r="AO39" s="80"/>
      <x:c r="AP39" s="80"/>
      <x:c r="AQ39" s="80"/>
      <x:c r="AR39" s="80"/>
      <x:c r="AS39" s="80"/>
      <x:c r="AT39" s="80"/>
      <x:c r="AU39" s="80"/>
      <x:c r="AV39" s="80"/>
      <x:c r="AW39" s="80"/>
      <x:c r="AX39" s="80"/>
      <x:c r="AY39" s="80"/>
      <x:c r="AZ39" s="80"/>
    </x:row>
    <x:row r="40">
      <x:c r="A40" s="80"/>
      <x:c r="B40" s="98"/>
      <x:c r="C40" s="98"/>
      <x:c r="D40" s="98"/>
      <x:c r="E40" s="98"/>
      <x:c r="F40" s="98"/>
      <x:c r="G40" s="98"/>
      <x:c r="H40" s="98"/>
      <x:c r="I40" s="98"/>
      <x:c r="J40" s="98"/>
      <x:c r="K40" s="98"/>
      <x:c r="L40" s="98"/>
      <x:c r="M40" s="98"/>
      <x:c r="N40" s="98"/>
      <x:c r="O40" s="98"/>
      <x:c r="P40" s="98"/>
      <x:c r="Q40" s="98"/>
      <x:c r="R40" s="98"/>
      <x:c r="S40" s="98"/>
      <x:c r="T40" s="98"/>
      <x:c r="U40" s="98"/>
      <x:c r="V40" s="98"/>
      <x:c r="W40" s="98"/>
      <x:c r="X40" s="98"/>
      <x:c r="Y40" s="98"/>
      <x:c r="Z40" s="98"/>
      <x:c r="AA40" s="98"/>
      <x:c r="AB40" s="98"/>
      <x:c r="AC40" s="98"/>
      <x:c r="AD40" s="98"/>
      <x:c r="AE40" s="98"/>
      <x:c r="AF40" s="98"/>
      <x:c r="AG40" s="98"/>
      <x:c r="AH40" s="98"/>
      <x:c r="AI40" s="98"/>
      <x:c r="AJ40" s="98"/>
      <x:c r="AK40" s="98"/>
      <x:c r="AL40" s="80"/>
      <x:c r="AM40" s="80"/>
      <x:c r="AN40" s="80"/>
      <x:c r="AO40" s="80"/>
      <x:c r="AP40" s="80"/>
      <x:c r="AQ40" s="80"/>
      <x:c r="AR40" s="80"/>
      <x:c r="AS40" s="80"/>
      <x:c r="AT40" s="80"/>
      <x:c r="AU40" s="80"/>
      <x:c r="AV40" s="80"/>
      <x:c r="AW40" s="80"/>
      <x:c r="AX40" s="80"/>
      <x:c r="AY40" s="80"/>
      <x:c r="AZ40" s="80"/>
    </x:row>
    <x:row r="41" ht="22" customHeight="1">
      <x:c r="A41" s="106" t="str">
        <x:v>КОММУНАЛЬНЫЕ РАСХОДЫ</x:v>
      </x:c>
      <x:c r="B41" s="107"/>
      <x:c r="C41" s="107"/>
      <x:c r="D41" s="107"/>
      <x:c r="E41" s="107"/>
      <x:c r="F41" s="107"/>
      <x:c r="G41" s="107"/>
      <x:c r="H41" s="107"/>
      <x:c r="I41" s="107"/>
      <x:c r="J41" s="107"/>
      <x:c r="K41" s="107"/>
      <x:c r="L41" s="107"/>
      <x:c r="M41" s="107"/>
      <x:c r="N41" s="107"/>
      <x:c r="O41" s="107"/>
      <x:c r="P41" s="107"/>
      <x:c r="Q41" s="107"/>
      <x:c r="R41" s="107"/>
      <x:c r="S41" s="107"/>
      <x:c r="T41" s="107"/>
      <x:c r="U41" s="107"/>
      <x:c r="V41" s="107"/>
      <x:c r="W41" s="107"/>
      <x:c r="X41" s="107"/>
      <x:c r="Y41" s="107"/>
      <x:c r="Z41" s="107"/>
      <x:c r="AA41" s="107"/>
      <x:c r="AB41" s="107"/>
      <x:c r="AC41" s="107"/>
      <x:c r="AD41" s="107"/>
      <x:c r="AE41" s="107"/>
      <x:c r="AF41" s="107"/>
      <x:c r="AG41" s="107"/>
      <x:c r="AH41" s="107"/>
      <x:c r="AI41" s="107"/>
      <x:c r="AJ41" s="107"/>
      <x:c r="AK41" s="107"/>
      <x:c r="AL41" s="80"/>
      <x:c r="AM41" s="80"/>
      <x:c r="AN41" s="80"/>
      <x:c r="AO41" s="80"/>
      <x:c r="AP41" s="80"/>
      <x:c r="AQ41" s="80"/>
      <x:c r="AR41" s="80"/>
      <x:c r="AS41" s="80"/>
      <x:c r="AT41" s="80"/>
      <x:c r="AU41" s="80"/>
      <x:c r="AV41" s="80"/>
      <x:c r="AW41" s="80"/>
      <x:c r="AX41" s="80"/>
      <x:c r="AY41" s="80"/>
      <x:c r="AZ41" s="80"/>
    </x:row>
    <x:row r="42">
      <x:c r="A42" s="80" t="str">
        <x:v>Электричество base load</x:v>
      </x:c>
      <x:c r="B42" s="98" t="n">
        <x:f>'PnL_36M'!B$8*'Assumptions'!$H$52*(1+'Assumptions'!$B$8)^0</x:f>
        <x:v>62886.600000000006</x:v>
      </x:c>
      <x:c r="C42" s="98" t="n">
        <x:f>'PnL_36M'!C$8*'Assumptions'!$H$52*(1+'Assumptions'!$B$8)^0</x:f>
        <x:v>58829.4</x:v>
      </x:c>
      <x:c r="D42" s="98" t="n">
        <x:f>'PnL_36M'!D$8*'Assumptions'!$H$52*(1+'Assumptions'!$B$8)^0</x:f>
        <x:v>62886.600000000006</x:v>
      </x:c>
      <x:c r="E42" s="98" t="n">
        <x:f>'PnL_36M'!E$8*'Assumptions'!$H$52*(1+'Assumptions'!$B$8)^0</x:f>
        <x:v>60858.00000000001</x:v>
      </x:c>
      <x:c r="F42" s="98" t="n">
        <x:f>'PnL_36M'!F$8*'Assumptions'!$H$52*(1+'Assumptions'!$B$8)^0</x:f>
        <x:v>62886.600000000006</x:v>
      </x:c>
      <x:c r="G42" s="98" t="n">
        <x:f>'PnL_36M'!G$8*'Assumptions'!$H$52*(1+'Assumptions'!$B$8)^0</x:f>
        <x:v>60858.00000000001</x:v>
      </x:c>
      <x:c r="H42" s="98" t="n">
        <x:f>'PnL_36M'!H$8*'Assumptions'!$H$52*(1+'Assumptions'!$B$8)^0</x:f>
        <x:v>62886.600000000006</x:v>
      </x:c>
      <x:c r="I42" s="98" t="n">
        <x:f>'PnL_36M'!I$8*'Assumptions'!$H$52*(1+'Assumptions'!$B$8)^0</x:f>
        <x:v>62886.600000000006</x:v>
      </x:c>
      <x:c r="J42" s="98" t="n">
        <x:f>'PnL_36M'!J$8*'Assumptions'!$H$52*(1+'Assumptions'!$B$8)^0</x:f>
        <x:v>60858.00000000001</x:v>
      </x:c>
      <x:c r="K42" s="98" t="n">
        <x:f>'PnL_36M'!K$8*'Assumptions'!$H$52*(1+'Assumptions'!$B$8)^0</x:f>
        <x:v>62886.600000000006</x:v>
      </x:c>
      <x:c r="L42" s="98" t="n">
        <x:f>'PnL_36M'!L$8*'Assumptions'!$H$52*(1+'Assumptions'!$B$8)^0</x:f>
        <x:v>60858.00000000001</x:v>
      </x:c>
      <x:c r="M42" s="98" t="n">
        <x:f>'PnL_36M'!M$8*'Assumptions'!$H$52*(1+'Assumptions'!$B$8)^0</x:f>
        <x:v>62886.600000000006</x:v>
      </x:c>
      <x:c r="N42" s="98" t="n">
        <x:f>'PnL_36M'!N$8*'Assumptions'!$H$52*(1+'Assumptions'!$B$8)^1</x:f>
        <x:v>66659.79600000002</x:v>
      </x:c>
      <x:c r="O42" s="98" t="n">
        <x:f>'PnL_36M'!O$8*'Assumptions'!$H$52*(1+'Assumptions'!$B$8)^1</x:f>
        <x:v>60208.848</x:v>
      </x:c>
      <x:c r="P42" s="98" t="n">
        <x:f>'PnL_36M'!P$8*'Assumptions'!$H$52*(1+'Assumptions'!$B$8)^1</x:f>
        <x:v>66659.79600000002</x:v>
      </x:c>
      <x:c r="Q42" s="98" t="n">
        <x:f>'PnL_36M'!Q$8*'Assumptions'!$H$52*(1+'Assumptions'!$B$8)^1</x:f>
        <x:v>64509.48000000001</x:v>
      </x:c>
      <x:c r="R42" s="98" t="n">
        <x:f>'PnL_36M'!R$8*'Assumptions'!$H$52*(1+'Assumptions'!$B$8)^1</x:f>
        <x:v>66659.79600000002</x:v>
      </x:c>
      <x:c r="S42" s="98" t="n">
        <x:f>'PnL_36M'!S$8*'Assumptions'!$H$52*(1+'Assumptions'!$B$8)^1</x:f>
        <x:v>64509.48000000001</x:v>
      </x:c>
      <x:c r="T42" s="98" t="n">
        <x:f>'PnL_36M'!T$8*'Assumptions'!$H$52*(1+'Assumptions'!$B$8)^1</x:f>
        <x:v>66659.79600000002</x:v>
      </x:c>
      <x:c r="U42" s="98" t="n">
        <x:f>'PnL_36M'!U$8*'Assumptions'!$H$52*(1+'Assumptions'!$B$8)^1</x:f>
        <x:v>66659.79600000002</x:v>
      </x:c>
      <x:c r="V42" s="98" t="n">
        <x:f>'PnL_36M'!V$8*'Assumptions'!$H$52*(1+'Assumptions'!$B$8)^1</x:f>
        <x:v>64509.48000000001</x:v>
      </x:c>
      <x:c r="W42" s="98" t="n">
        <x:f>'PnL_36M'!W$8*'Assumptions'!$H$52*(1+'Assumptions'!$B$8)^1</x:f>
        <x:v>66659.79600000002</x:v>
      </x:c>
      <x:c r="X42" s="98" t="n">
        <x:f>'PnL_36M'!X$8*'Assumptions'!$H$52*(1+'Assumptions'!$B$8)^1</x:f>
        <x:v>64509.48000000001</x:v>
      </x:c>
      <x:c r="Y42" s="98" t="n">
        <x:f>'PnL_36M'!Y$8*'Assumptions'!$H$52*(1+'Assumptions'!$B$8)^1</x:f>
        <x:v>66659.79600000002</x:v>
      </x:c>
      <x:c r="Z42" s="98" t="n">
        <x:f>'PnL_36M'!Z$8*'Assumptions'!$H$52*(1+'Assumptions'!$B$8)^2</x:f>
        <x:v>70659.38376000001</x:v>
      </x:c>
      <x:c r="AA42" s="98" t="n">
        <x:f>'PnL_36M'!AA$8*'Assumptions'!$H$52*(1+'Assumptions'!$B$8)^2</x:f>
        <x:v>63821.378880000004</x:v>
      </x:c>
      <x:c r="AB42" s="98" t="n">
        <x:f>'PnL_36M'!AB$8*'Assumptions'!$H$52*(1+'Assumptions'!$B$8)^2</x:f>
        <x:v>70659.38376000001</x:v>
      </x:c>
      <x:c r="AC42" s="98" t="n">
        <x:f>'PnL_36M'!AC$8*'Assumptions'!$H$52*(1+'Assumptions'!$B$8)^2</x:f>
        <x:v>68380.04880000002</x:v>
      </x:c>
      <x:c r="AD42" s="98" t="n">
        <x:f>'PnL_36M'!AD$8*'Assumptions'!$H$52*(1+'Assumptions'!$B$8)^2</x:f>
        <x:v>70659.38376000001</x:v>
      </x:c>
      <x:c r="AE42" s="98" t="n">
        <x:f>'PnL_36M'!AE$8*'Assumptions'!$H$52*(1+'Assumptions'!$B$8)^2</x:f>
        <x:v>68380.04880000002</x:v>
      </x:c>
      <x:c r="AF42" s="98" t="n">
        <x:f>'PnL_36M'!AF$8*'Assumptions'!$H$52*(1+'Assumptions'!$B$8)^2</x:f>
        <x:v>70659.38376000001</x:v>
      </x:c>
      <x:c r="AG42" s="98" t="n">
        <x:f>'PnL_36M'!AG$8*'Assumptions'!$H$52*(1+'Assumptions'!$B$8)^2</x:f>
        <x:v>70659.38376000001</x:v>
      </x:c>
      <x:c r="AH42" s="98" t="n">
        <x:f>'PnL_36M'!AH$8*'Assumptions'!$H$52*(1+'Assumptions'!$B$8)^2</x:f>
        <x:v>68380.04880000002</x:v>
      </x:c>
      <x:c r="AI42" s="98" t="n">
        <x:f>'PnL_36M'!AI$8*'Assumptions'!$H$52*(1+'Assumptions'!$B$8)^2</x:f>
        <x:v>70659.38376000001</x:v>
      </x:c>
      <x:c r="AJ42" s="98" t="n">
        <x:f>'PnL_36M'!AJ$8*'Assumptions'!$H$52*(1+'Assumptions'!$B$8)^2</x:f>
        <x:v>68380.04880000002</x:v>
      </x:c>
      <x:c r="AK42" s="98" t="n">
        <x:f>'PnL_36M'!AK$8*'Assumptions'!$H$52*(1+'Assumptions'!$B$8)^2</x:f>
        <x:v>70659.38376000001</x:v>
      </x:c>
      <x:c r="AL42" s="80"/>
      <x:c r="AM42" s="80"/>
      <x:c r="AN42" s="80"/>
      <x:c r="AO42" s="80"/>
      <x:c r="AP42" s="80"/>
      <x:c r="AQ42" s="80"/>
      <x:c r="AR42" s="80"/>
      <x:c r="AS42" s="80"/>
      <x:c r="AT42" s="80"/>
      <x:c r="AU42" s="80"/>
      <x:c r="AV42" s="80"/>
      <x:c r="AW42" s="80"/>
      <x:c r="AX42" s="80"/>
      <x:c r="AY42" s="80"/>
      <x:c r="AZ42" s="80"/>
    </x:row>
    <x:row r="43">
      <x:c r="A43" s="80" t="str">
        <x:v>Электричество occupied load</x:v>
      </x:c>
      <x:c r="B43" s="98" t="n">
        <x:f>'PnL_36M'!B$10*'Assumptions'!$H$53*(1+'Assumptions'!$B$8)^0</x:f>
        <x:v>22147.02</x:v>
      </x:c>
      <x:c r="C43" s="98" t="n">
        <x:f>'PnL_36M'!C$10*'Assumptions'!$H$53*(1+'Assumptions'!$B$8)^0</x:f>
        <x:v>25322.219999999998</x:v>
      </x:c>
      <x:c r="D43" s="98" t="n">
        <x:f>'PnL_36M'!D$10*'Assumptions'!$H$53*(1+'Assumptions'!$B$8)^0</x:f>
        <x:v>32810.4</x:v>
      </x:c>
      <x:c r="E43" s="98" t="n">
        <x:f>'PnL_36M'!E$10*'Assumptions'!$H$53*(1+'Assumptions'!$B$8)^0</x:f>
        <x:v>37308.600000000006</x:v>
      </x:c>
      <x:c r="F43" s="98" t="n">
        <x:f>'PnL_36M'!F$10*'Assumptions'!$H$53*(1+'Assumptions'!$B$8)^0</x:f>
        <x:v>45114.29999999999</x:v>
      </x:c>
      <x:c r="G43" s="98" t="n">
        <x:f>'PnL_36M'!G$10*'Assumptions'!$H$53*(1+'Assumptions'!$B$8)^0</x:f>
        <x:v>53184.600000000006</x:v>
      </x:c>
      <x:c r="H43" s="98" t="n">
        <x:f>'PnL_36M'!H$10*'Assumptions'!$H$53*(1+'Assumptions'!$B$8)^0</x:f>
        <x:v>59878.979999999996</x:v>
      </x:c>
      <x:c r="I43" s="98" t="n">
        <x:f>'PnL_36M'!I$10*'Assumptions'!$H$53*(1+'Assumptions'!$B$8)^0</x:f>
        <x:v>56597.939999999995</x:v>
      </x:c>
      <x:c r="J43" s="98" t="n">
        <x:f>'PnL_36M'!J$10*'Assumptions'!$H$53*(1+'Assumptions'!$B$8)^0</x:f>
        <x:v>48421.8</x:v>
      </x:c>
      <x:c r="K43" s="98" t="n">
        <x:f>'PnL_36M'!K$10*'Assumptions'!$H$53*(1+'Assumptions'!$B$8)^0</x:f>
        <x:v>45114.30000000001</x:v>
      </x:c>
      <x:c r="L43" s="98" t="n">
        <x:f>'PnL_36M'!L$10*'Assumptions'!$H$53*(1+'Assumptions'!$B$8)^0</x:f>
        <x:v>38896.2</x:v>
      </x:c>
      <x:c r="M43" s="98" t="n">
        <x:f>'PnL_36M'!M$10*'Assumptions'!$H$53*(1+'Assumptions'!$B$8)^0</x:f>
        <x:v>51676.38</x:v>
      </x:c>
      <x:c r="N43" s="98" t="n">
        <x:f>'PnL_36M'!N$10*'Assumptions'!$H$53*(1+'Assumptions'!$B$8)^1</x:f>
        <x:v>38691.6642</x:v>
      </x:c>
      <x:c r="O43" s="98" t="n">
        <x:f>'PnL_36M'!O$10*'Assumptions'!$H$53*(1+'Assumptions'!$B$8)^1</x:f>
        <x:v>37303.308</x:v>
      </x:c>
      <x:c r="P43" s="98" t="n">
        <x:f>'PnL_36M'!P$10*'Assumptions'!$H$53*(1+'Assumptions'!$B$8)^1</x:f>
        <x:v>44777.99340000001</x:v>
      </x:c>
      <x:c r="Q43" s="98" t="n">
        <x:f>'PnL_36M'!Q$10*'Assumptions'!$H$53*(1+'Assumptions'!$B$8)^1</x:f>
        <x:v>46699.254</x:v>
      </x:c>
      <x:c r="R43" s="98" t="n">
        <x:f>'PnL_36M'!R$10*'Assumptions'!$H$53*(1+'Assumptions'!$B$8)^1</x:f>
        <x:v>52603.273799999995</x:v>
      </x:c>
      <x:c r="S43" s="98" t="n">
        <x:f>'PnL_36M'!S$10*'Assumptions'!$H$53*(1+'Assumptions'!$B$8)^1</x:f>
        <x:v>58479.246</x:v>
      </x:c>
      <x:c r="T43" s="98" t="n">
        <x:f>'PnL_36M'!T$10*'Assumptions'!$H$53*(1+'Assumptions'!$B$8)^1</x:f>
        <x:v>65645.4078</x:v>
      </x:c>
      <x:c r="U43" s="98" t="n">
        <x:f>'PnL_36M'!U$10*'Assumptions'!$H$53*(1+'Assumptions'!$B$8)^1</x:f>
        <x:v>62167.5054</x:v>
      </x:c>
      <x:c r="V43" s="98" t="n">
        <x:f>'PnL_36M'!V$10*'Assumptions'!$H$53*(1+'Assumptions'!$B$8)^1</x:f>
        <x:v>53430.678</x:v>
      </x:c>
      <x:c r="W43" s="98" t="n">
        <x:f>'PnL_36M'!W$10*'Assumptions'!$H$53*(1+'Assumptions'!$B$8)^1</x:f>
        <x:v>49994.84700000001</x:v>
      </x:c>
      <x:c r="X43" s="98" t="n">
        <x:f>'PnL_36M'!X$10*'Assumptions'!$H$53*(1+'Assumptions'!$B$8)^1</x:f>
        <x:v>43333.54200000001</x:v>
      </x:c>
      <x:c r="Y43" s="98" t="n">
        <x:f>'PnL_36M'!Y$10*'Assumptions'!$H$53*(1+'Assumptions'!$B$8)^1</x:f>
        <x:v>56950.6518</x:v>
      </x:c>
      <x:c r="Z43" s="98" t="n">
        <x:f>'PnL_36M'!Z$10*'Assumptions'!$H$53*(1+'Assumptions'!$B$8)^2</x:f>
        <x:v>42856.452324000005</x:v>
      </x:c>
      <x:c r="AA43" s="98" t="n">
        <x:f>'PnL_36M'!AA$10*'Assumptions'!$H$53*(1+'Assumptions'!$B$8)^2</x:f>
        <x:v>41206.412016</x:v>
      </x:c>
      <x:c r="AB43" s="98" t="n">
        <x:f>'PnL_36M'!AB$10*'Assumptions'!$H$53*(1+'Assumptions'!$B$8)^2</x:f>
        <x:v>49307.961276</x:v>
      </x:c>
      <x:c r="AC43" s="98" t="n">
        <x:f>'PnL_36M'!AC$10*'Assumptions'!$H$53*(1+'Assumptions'!$B$8)^2</x:f>
        <x:v>51285.03660000001</x:v>
      </x:c>
      <x:c r="AD43" s="98" t="n">
        <x:f>'PnL_36M'!AD$10*'Assumptions'!$H$53*(1+'Assumptions'!$B$8)^2</x:f>
        <x:v>57602.75850000001</x:v>
      </x:c>
      <x:c r="AE43" s="98" t="n">
        <x:f>'PnL_36M'!AE$10*'Assumptions'!$H$53*(1+'Assumptions'!$B$8)^2</x:f>
        <x:v>63771.82812000001</x:v>
      </x:c>
      <x:c r="AF43" s="98" t="n">
        <x:f>'PnL_36M'!AF$10*'Assumptions'!$H$53*(1+'Assumptions'!$B$8)^2</x:f>
        <x:v>71427.42054000002</x:v>
      </x:c>
      <x:c r="AG43" s="98" t="n">
        <x:f>'PnL_36M'!AG$10*'Assumptions'!$H$53*(1+'Assumptions'!$B$8)^2</x:f>
        <x:v>67740.84399600003</x:v>
      </x:c>
      <x:c r="AH43" s="98" t="n">
        <x:f>'PnL_36M'!AH$10*'Assumptions'!$H$53*(1+'Assumptions'!$B$8)^2</x:f>
        <x:v>58420.34604000001</x:v>
      </x:c>
      <x:c r="AI43" s="98" t="n">
        <x:f>'PnL_36M'!AI$10*'Assumptions'!$H$53*(1+'Assumptions'!$B$8)^2</x:f>
        <x:v>54837.82609200002</x:v>
      </x:c>
      <x:c r="AJ43" s="98" t="n">
        <x:f>'PnL_36M'!AJ$10*'Assumptions'!$H$53*(1+'Assumptions'!$B$8)^2</x:f>
        <x:v>47717.38188000001</x:v>
      </x:c>
      <x:c r="AK43" s="98" t="n">
        <x:f>'PnL_36M'!AK$10*'Assumptions'!$H$53*(1+'Assumptions'!$B$8)^2</x:f>
        <x:v>62210.97918000001</x:v>
      </x:c>
      <x:c r="AL43" s="80"/>
      <x:c r="AM43" s="80"/>
      <x:c r="AN43" s="80"/>
      <x:c r="AO43" s="80"/>
      <x:c r="AP43" s="80"/>
      <x:c r="AQ43" s="80"/>
      <x:c r="AR43" s="80"/>
      <x:c r="AS43" s="80"/>
      <x:c r="AT43" s="80"/>
      <x:c r="AU43" s="80"/>
      <x:c r="AV43" s="80"/>
      <x:c r="AW43" s="80"/>
      <x:c r="AX43" s="80"/>
      <x:c r="AY43" s="80"/>
      <x:c r="AZ43" s="80"/>
    </x:row>
    <x:row r="44">
      <x:c r="A44" s="80" t="str">
        <x:v>Электрическое отопление</x:v>
      </x:c>
      <x:c r="B44" s="98" t="n">
        <x:f>'PnL_36M'!B$10*'Assumptions'!$H$54*'Assumptions'!$D$38*(1+'Assumptions'!$B$8)^0</x:f>
        <x:v>74377.0755</x:v>
      </x:c>
      <x:c r="C44" s="98" t="n">
        <x:f>'PnL_36M'!C$10*'Assumptions'!$H$54*'Assumptions'!$D$39*(1+'Assumptions'!$B$8)^0</x:f>
        <x:v>79553.9745</x:v>
      </x:c>
      <x:c r="D44" s="98" t="n">
        <x:f>'PnL_36M'!D$10*'Assumptions'!$H$54*'Assumptions'!$D$40*(1+'Assumptions'!$B$8)^0</x:f>
        <x:v>85307.04</x:v>
      </x:c>
      <x:c r="E44" s="98" t="n">
        <x:f>'PnL_36M'!E$10*'Assumptions'!$H$54*'Assumptions'!$D$41*(1+'Assumptions'!$B$8)^0</x:f>
        <x:v>66284.946</x:v>
      </x:c>
      <x:c r="F44" s="98" t="n">
        <x:f>'PnL_36M'!F$10*'Assumptions'!$H$54*'Assumptions'!$D$42*(1+'Assumptions'!$B$8)^0</x:f>
        <x:v>34211.67749999999</x:v>
      </x:c>
      <x:c r="G44" s="98" t="n">
        <x:f>'PnL_36M'!G$10*'Assumptions'!$H$54*'Assumptions'!$D$43*(1+'Assumptions'!$B$8)^0</x:f>
        <x:v>13827.996</x:v>
      </x:c>
      <x:c r="H44" s="98" t="n">
        <x:f>'PnL_36M'!H$10*'Assumptions'!$H$54*'Assumptions'!$D$44*(1+'Assumptions'!$B$8)^0</x:f>
        <x:v>10379.0232</x:v>
      </x:c>
      <x:c r="I44" s="98" t="n">
        <x:f>'PnL_36M'!I$10*'Assumptions'!$H$54*'Assumptions'!$D$45*(1+'Assumptions'!$B$8)^0</x:f>
        <x:v>12262.887</x:v>
      </x:c>
      <x:c r="J44" s="98" t="n">
        <x:f>'PnL_36M'!J$10*'Assumptions'!$H$54*'Assumptions'!$D$46*(1+'Assumptions'!$B$8)^0</x:f>
        <x:v>36719.865</x:v>
      </x:c>
      <x:c r="K44" s="98" t="n">
        <x:f>'PnL_36M'!K$10*'Assumptions'!$H$54*'Assumptions'!$D$47*(1+'Assumptions'!$B$8)^0</x:f>
        <x:v>78198.12000000002</x:v>
      </x:c>
      <x:c r="L44" s="98" t="n">
        <x:f>'PnL_36M'!L$10*'Assumptions'!$H$54*'Assumptions'!$D$48*(1+'Assumptions'!$B$8)^0</x:f>
        <x:v>105343.87499999999</x:v>
      </x:c>
      <x:c r="M44" s="98" t="n">
        <x:f>'PnL_36M'!M$10*'Assumptions'!$H$54*'Assumptions'!$D$49*(1+'Assumptions'!$B$8)^0</x:f>
        <x:v>173546.5095</x:v>
      </x:c>
      <x:c r="N44" s="98" t="n">
        <x:f>'PnL_36M'!N$10*'Assumptions'!$H$54*'Assumptions'!$D$38*(1+'Assumptions'!$B$8)^1</x:f>
        <x:v>129939.50560500001</x:v>
      </x:c>
      <x:c r="O44" s="98" t="n">
        <x:f>'PnL_36M'!O$10*'Assumptions'!$H$54*'Assumptions'!$D$39*(1+'Assumptions'!$B$8)^1</x:f>
        <x:v>117194.5593</x:v>
      </x:c>
      <x:c r="P44" s="98" t="n">
        <x:f>'PnL_36M'!P$10*'Assumptions'!$H$54*'Assumptions'!$D$40*(1+'Assumptions'!$B$8)^1</x:f>
        <x:v>116422.78284000001</x:v>
      </x:c>
      <x:c r="Q44" s="98" t="n">
        <x:f>'PnL_36M'!Q$10*'Assumptions'!$H$54*'Assumptions'!$D$41*(1+'Assumptions'!$B$8)^1</x:f>
        <x:v>82969.00794000001</x:v>
      </x:c>
      <x:c r="R44" s="98" t="n">
        <x:f>'PnL_36M'!R$10*'Assumptions'!$H$54*'Assumptions'!$D$42*(1+'Assumptions'!$B$8)^1</x:f>
        <x:v>39890.815965</x:v>
      </x:c>
      <x:c r="S44" s="98" t="n">
        <x:f>'PnL_36M'!S$10*'Assumptions'!$H$54*'Assumptions'!$D$43*(1+'Assumptions'!$B$8)^1</x:f>
        <x:v>15204.603959999999</x:v>
      </x:c>
      <x:c r="T44" s="98" t="n">
        <x:f>'PnL_36M'!T$10*'Assumptions'!$H$54*'Assumptions'!$D$44*(1+'Assumptions'!$B$8)^1</x:f>
        <x:v>11378.537352</x:v>
      </x:c>
      <x:c r="U44" s="98" t="n">
        <x:f>'PnL_36M'!U$10*'Assumptions'!$H$54*'Assumptions'!$D$45*(1+'Assumptions'!$B$8)^1</x:f>
        <x:v>13469.62617</x:v>
      </x:c>
      <x:c r="V44" s="98" t="n">
        <x:f>'PnL_36M'!V$10*'Assumptions'!$H$54*'Assumptions'!$D$46*(1+'Assumptions'!$B$8)^1</x:f>
        <x:v>40518.264149999995</x:v>
      </x:c>
      <x:c r="W44" s="98" t="n">
        <x:f>'PnL_36M'!W$10*'Assumptions'!$H$54*'Assumptions'!$D$47*(1+'Assumptions'!$B$8)^1</x:f>
        <x:v>86657.73480000002</x:v>
      </x:c>
      <x:c r="X44" s="98" t="n">
        <x:f>'PnL_36M'!X$10*'Assumptions'!$H$54*'Assumptions'!$D$48*(1+'Assumptions'!$B$8)^1</x:f>
        <x:v>117361.67625</x:v>
      </x:c>
      <x:c r="Y44" s="98" t="n">
        <x:f>'PnL_36M'!Y$10*'Assumptions'!$H$54*'Assumptions'!$D$49*(1+'Assumptions'!$B$8)^1</x:f>
        <x:v>191259.272295</x:v>
      </x:c>
      <x:c r="Z44" s="98" t="n">
        <x:f>'PnL_36M'!Z$10*'Assumptions'!$H$54*'Assumptions'!$D$38*(1+'Assumptions'!$B$8)^2</x:f>
        <x:v>143926.25238810002</x:v>
      </x:c>
      <x:c r="AA44" s="98" t="n">
        <x:f>'PnL_36M'!AA$10*'Assumptions'!$H$54*'Assumptions'!$D$39*(1+'Assumptions'!$B$8)^2</x:f>
        <x:v>129456.8110836</x:v>
      </x:c>
      <x:c r="AB44" s="98" t="n">
        <x:f>'PnL_36M'!AB$10*'Assumptions'!$H$54*'Assumptions'!$D$40*(1+'Assumptions'!$B$8)^2</x:f>
        <x:v>128200.6993176</x:v>
      </x:c>
      <x:c r="AC44" s="98" t="n">
        <x:f>'PnL_36M'!AC$10*'Assumptions'!$H$54*'Assumptions'!$D$41*(1+'Assumptions'!$B$8)^2</x:f>
        <x:v>91116.415026</x:v>
      </x:c>
      <x:c r="AD44" s="98" t="n">
        <x:f>'PnL_36M'!AD$10*'Assumptions'!$H$54*'Assumptions'!$D$42*(1+'Assumptions'!$B$8)^2</x:f>
        <x:v>43682.0918625</x:v>
      </x:c>
      <x:c r="AE44" s="98" t="n">
        <x:f>'PnL_36M'!AE$10*'Assumptions'!$H$54*'Assumptions'!$D$43*(1+'Assumptions'!$B$8)^2</x:f>
        <x:v>16580.675311200004</x:v>
      </x:c>
      <x:c r="AF44" s="98" t="n">
        <x:f>'PnL_36M'!AF$10*'Assumptions'!$H$54*'Assumptions'!$D$44*(1+'Assumptions'!$B$8)^2</x:f>
        <x:v>12380.752893600004</x:v>
      </x:c>
      <x:c r="AG44" s="98" t="n">
        <x:f>'PnL_36M'!AG$10*'Assumptions'!$H$54*'Assumptions'!$D$45*(1+'Assumptions'!$B$8)^2</x:f>
        <x:v>14677.182865800003</x:v>
      </x:c>
      <x:c r="AH44" s="98" t="n">
        <x:f>'PnL_36M'!AH$10*'Assumptions'!$H$54*'Assumptions'!$D$46*(1+'Assumptions'!$B$8)^2</x:f>
        <x:v>44302.095747000014</x:v>
      </x:c>
      <x:c r="AI44" s="98" t="n">
        <x:f>'PnL_36M'!AI$10*'Assumptions'!$H$54*'Assumptions'!$D$47*(1+'Assumptions'!$B$8)^2</x:f>
        <x:v>95052.23189280003</x:v>
      </x:c>
      <x:c r="AJ44" s="98" t="n">
        <x:f>'PnL_36M'!AJ$10*'Assumptions'!$H$54*'Assumptions'!$D$48*(1+'Assumptions'!$B$8)^2</x:f>
        <x:v>129234.57592500004</x:v>
      </x:c>
      <x:c r="AK44" s="98" t="n">
        <x:f>'PnL_36M'!AK$10*'Assumptions'!$H$54*'Assumptions'!$D$49*(1+'Assumptions'!$B$8)^2</x:f>
        <x:v>208925.20507950007</x:v>
      </x:c>
      <x:c r="AL44" s="80"/>
      <x:c r="AM44" s="80"/>
      <x:c r="AN44" s="80"/>
      <x:c r="AO44" s="80"/>
      <x:c r="AP44" s="80"/>
      <x:c r="AQ44" s="80"/>
      <x:c r="AR44" s="80"/>
      <x:c r="AS44" s="80"/>
      <x:c r="AT44" s="80"/>
      <x:c r="AU44" s="80"/>
      <x:c r="AV44" s="80"/>
      <x:c r="AW44" s="80"/>
      <x:c r="AX44" s="80"/>
      <x:c r="AY44" s="80"/>
      <x:c r="AZ44" s="80"/>
    </x:row>
    <x:row r="45">
      <x:c r="A45" s="80" t="str">
        <x:v>Электричество прачечной</x:v>
      </x:c>
      <x:c r="B45" s="98" t="n">
        <x:f>'PnL_36M'!B$10*'Assumptions'!$H$55*(1+'Assumptions'!$B$8)^0</x:f>
        <x:v>6644.106000000001</x:v>
      </x:c>
      <x:c r="C45" s="98" t="n">
        <x:f>'PnL_36M'!C$10*'Assumptions'!$H$55*(1+'Assumptions'!$B$8)^0</x:f>
        <x:v>7596.665999999999</x:v>
      </x:c>
      <x:c r="D45" s="98" t="n">
        <x:f>'PnL_36M'!D$10*'Assumptions'!$H$55*(1+'Assumptions'!$B$8)^0</x:f>
        <x:v>9843.119999999999</x:v>
      </x:c>
      <x:c r="E45" s="98" t="n">
        <x:f>'PnL_36M'!E$10*'Assumptions'!$H$55*(1+'Assumptions'!$B$8)^0</x:f>
        <x:v>11192.58</x:v>
      </x:c>
      <x:c r="F45" s="98" t="n">
        <x:f>'PnL_36M'!F$10*'Assumptions'!$H$55*(1+'Assumptions'!$B$8)^0</x:f>
        <x:v>13534.289999999997</x:v>
      </x:c>
      <x:c r="G45" s="98" t="n">
        <x:f>'PnL_36M'!G$10*'Assumptions'!$H$55*(1+'Assumptions'!$B$8)^0</x:f>
        <x:v>15955.380000000001</x:v>
      </x:c>
      <x:c r="H45" s="98" t="n">
        <x:f>'PnL_36M'!H$10*'Assumptions'!$H$55*(1+'Assumptions'!$B$8)^0</x:f>
        <x:v>17963.694</x:v>
      </x:c>
      <x:c r="I45" s="98" t="n">
        <x:f>'PnL_36M'!I$10*'Assumptions'!$H$55*(1+'Assumptions'!$B$8)^0</x:f>
        <x:v>16979.381999999998</x:v>
      </x:c>
      <x:c r="J45" s="98" t="n">
        <x:f>'PnL_36M'!J$10*'Assumptions'!$H$55*(1+'Assumptions'!$B$8)^0</x:f>
        <x:v>14526.54</x:v>
      </x:c>
      <x:c r="K45" s="98" t="n">
        <x:f>'PnL_36M'!K$10*'Assumptions'!$H$55*(1+'Assumptions'!$B$8)^0</x:f>
        <x:v>13534.290000000003</x:v>
      </x:c>
      <x:c r="L45" s="98" t="n">
        <x:f>'PnL_36M'!L$10*'Assumptions'!$H$55*(1+'Assumptions'!$B$8)^0</x:f>
        <x:v>11668.86</x:v>
      </x:c>
      <x:c r="M45" s="98" t="n">
        <x:f>'PnL_36M'!M$10*'Assumptions'!$H$55*(1+'Assumptions'!$B$8)^0</x:f>
        <x:v>15502.913999999999</x:v>
      </x:c>
      <x:c r="N45" s="98" t="n">
        <x:f>'PnL_36M'!N$10*'Assumptions'!$H$55*(1+'Assumptions'!$B$8)^1</x:f>
        <x:v>11607.49926</x:v>
      </x:c>
      <x:c r="O45" s="98" t="n">
        <x:f>'PnL_36M'!O$10*'Assumptions'!$H$55*(1+'Assumptions'!$B$8)^1</x:f>
        <x:v>11190.9924</x:v>
      </x:c>
      <x:c r="P45" s="98" t="n">
        <x:f>'PnL_36M'!P$10*'Assumptions'!$H$55*(1+'Assumptions'!$B$8)^1</x:f>
        <x:v>13433.398020000002</x:v>
      </x:c>
      <x:c r="Q45" s="98" t="n">
        <x:f>'PnL_36M'!Q$10*'Assumptions'!$H$55*(1+'Assumptions'!$B$8)^1</x:f>
        <x:v>14009.776200000002</x:v>
      </x:c>
      <x:c r="R45" s="98" t="n">
        <x:f>'PnL_36M'!R$10*'Assumptions'!$H$55*(1+'Assumptions'!$B$8)^1</x:f>
        <x:v>15780.98214</x:v>
      </x:c>
      <x:c r="S45" s="98" t="n">
        <x:f>'PnL_36M'!S$10*'Assumptions'!$H$55*(1+'Assumptions'!$B$8)^1</x:f>
        <x:v>17543.7738</x:v>
      </x:c>
      <x:c r="T45" s="98" t="n">
        <x:f>'PnL_36M'!T$10*'Assumptions'!$H$55*(1+'Assumptions'!$B$8)^1</x:f>
        <x:v>19693.62234</x:v>
      </x:c>
      <x:c r="U45" s="98" t="n">
        <x:f>'PnL_36M'!U$10*'Assumptions'!$H$55*(1+'Assumptions'!$B$8)^1</x:f>
        <x:v>18650.25162</x:v>
      </x:c>
      <x:c r="V45" s="98" t="n">
        <x:f>'PnL_36M'!V$10*'Assumptions'!$H$55*(1+'Assumptions'!$B$8)^1</x:f>
        <x:v>16029.2034</x:v>
      </x:c>
      <x:c r="W45" s="98" t="n">
        <x:f>'PnL_36M'!W$10*'Assumptions'!$H$55*(1+'Assumptions'!$B$8)^1</x:f>
        <x:v>14998.454100000003</x:v>
      </x:c>
      <x:c r="X45" s="98" t="n">
        <x:f>'PnL_36M'!X$10*'Assumptions'!$H$55*(1+'Assumptions'!$B$8)^1</x:f>
        <x:v>13000.062600000001</x:v>
      </x:c>
      <x:c r="Y45" s="98" t="n">
        <x:f>'PnL_36M'!Y$10*'Assumptions'!$H$55*(1+'Assumptions'!$B$8)^1</x:f>
        <x:v>17085.19554</x:v>
      </x:c>
      <x:c r="Z45" s="98" t="n">
        <x:f>'PnL_36M'!Z$10*'Assumptions'!$H$55*(1+'Assumptions'!$B$8)^2</x:f>
        <x:v>12856.935697200002</x:v>
      </x:c>
      <x:c r="AA45" s="98" t="n">
        <x:f>'PnL_36M'!AA$10*'Assumptions'!$H$55*(1+'Assumptions'!$B$8)^2</x:f>
        <x:v>12361.9236048</x:v>
      </x:c>
      <x:c r="AB45" s="98" t="n">
        <x:f>'PnL_36M'!AB$10*'Assumptions'!$H$55*(1+'Assumptions'!$B$8)^2</x:f>
        <x:v>14792.388382800002</x:v>
      </x:c>
      <x:c r="AC45" s="98" t="n">
        <x:f>'PnL_36M'!AC$10*'Assumptions'!$H$55*(1+'Assumptions'!$B$8)^2</x:f>
        <x:v>15385.510980000003</x:v>
      </x:c>
      <x:c r="AD45" s="98" t="n">
        <x:f>'PnL_36M'!AD$10*'Assumptions'!$H$55*(1+'Assumptions'!$B$8)^2</x:f>
        <x:v>17280.82755</x:v>
      </x:c>
      <x:c r="AE45" s="98" t="n">
        <x:f>'PnL_36M'!AE$10*'Assumptions'!$H$55*(1+'Assumptions'!$B$8)^2</x:f>
        <x:v>19131.548436000005</x:v>
      </x:c>
      <x:c r="AF45" s="98" t="n">
        <x:f>'PnL_36M'!AF$10*'Assumptions'!$H$55*(1+'Assumptions'!$B$8)^2</x:f>
        <x:v>21428.226162000006</x:v>
      </x:c>
      <x:c r="AG45" s="98" t="n">
        <x:f>'PnL_36M'!AG$10*'Assumptions'!$H$55*(1+'Assumptions'!$B$8)^2</x:f>
        <x:v>20322.253198800005</x:v>
      </x:c>
      <x:c r="AH45" s="98" t="n">
        <x:f>'PnL_36M'!AH$10*'Assumptions'!$H$55*(1+'Assumptions'!$B$8)^2</x:f>
        <x:v>17526.103812000005</x:v>
      </x:c>
      <x:c r="AI45" s="98" t="n">
        <x:f>'PnL_36M'!AI$10*'Assumptions'!$H$55*(1+'Assumptions'!$B$8)^2</x:f>
        <x:v>16451.347827600006</x:v>
      </x:c>
      <x:c r="AJ45" s="98" t="n">
        <x:f>'PnL_36M'!AJ$10*'Assumptions'!$H$55*(1+'Assumptions'!$B$8)^2</x:f>
        <x:v>14315.214564000002</x:v>
      </x:c>
      <x:c r="AK45" s="98" t="n">
        <x:f>'PnL_36M'!AK$10*'Assumptions'!$H$55*(1+'Assumptions'!$B$8)^2</x:f>
        <x:v>18663.293754000002</x:v>
      </x:c>
      <x:c r="AL45" s="80"/>
      <x:c r="AM45" s="80"/>
      <x:c r="AN45" s="80"/>
      <x:c r="AO45" s="80"/>
      <x:c r="AP45" s="80"/>
      <x:c r="AQ45" s="80"/>
      <x:c r="AR45" s="80"/>
      <x:c r="AS45" s="80"/>
      <x:c r="AT45" s="80"/>
      <x:c r="AU45" s="80"/>
      <x:c r="AV45" s="80"/>
      <x:c r="AW45" s="80"/>
      <x:c r="AX45" s="80"/>
      <x:c r="AY45" s="80"/>
      <x:c r="AZ45" s="80"/>
    </x:row>
    <x:row r="46">
      <x:c r="A46" s="80" t="str">
        <x:v>Вода и канализация</x:v>
      </x:c>
      <x:c r="B46" s="98" t="n">
        <x:f>'PnL_36M'!B$10*'Assumptions'!$H$56*(1+'Assumptions'!$B$8)^0</x:f>
        <x:v>16241.148000000001</x:v>
      </x:c>
      <x:c r="C46" s="98" t="n">
        <x:f>'PnL_36M'!C$10*'Assumptions'!$H$56*(1+'Assumptions'!$B$8)^0</x:f>
        <x:v>18569.628</x:v>
      </x:c>
      <x:c r="D46" s="98" t="n">
        <x:f>'PnL_36M'!D$10*'Assumptions'!$H$56*(1+'Assumptions'!$B$8)^0</x:f>
        <x:v>24060.96</x:v>
      </x:c>
      <x:c r="E46" s="98" t="n">
        <x:f>'PnL_36M'!E$10*'Assumptions'!$H$56*(1+'Assumptions'!$B$8)^0</x:f>
        <x:v>27359.640000000003</x:v>
      </x:c>
      <x:c r="F46" s="98" t="n">
        <x:f>'PnL_36M'!F$10*'Assumptions'!$H$56*(1+'Assumptions'!$B$8)^0</x:f>
        <x:v>33083.81999999999</x:v>
      </x:c>
      <x:c r="G46" s="98" t="n">
        <x:f>'PnL_36M'!G$10*'Assumptions'!$H$56*(1+'Assumptions'!$B$8)^0</x:f>
        <x:v>39002.04</x:v>
      </x:c>
      <x:c r="H46" s="98" t="n">
        <x:f>'PnL_36M'!H$10*'Assumptions'!$H$56*(1+'Assumptions'!$B$8)^0</x:f>
        <x:v>43911.252</x:v>
      </x:c>
      <x:c r="I46" s="98" t="n">
        <x:f>'PnL_36M'!I$10*'Assumptions'!$H$56*(1+'Assumptions'!$B$8)^0</x:f>
        <x:v>41505.155999999995</x:v>
      </x:c>
      <x:c r="J46" s="98" t="n">
        <x:f>'PnL_36M'!J$10*'Assumptions'!$H$56*(1+'Assumptions'!$B$8)^0</x:f>
        <x:v>35509.32</x:v>
      </x:c>
      <x:c r="K46" s="98" t="n">
        <x:f>'PnL_36M'!K$10*'Assumptions'!$H$56*(1+'Assumptions'!$B$8)^0</x:f>
        <x:v>33083.82000000001</x:v>
      </x:c>
      <x:c r="L46" s="98" t="n">
        <x:f>'PnL_36M'!L$10*'Assumptions'!$H$56*(1+'Assumptions'!$B$8)^0</x:f>
        <x:v>28523.879999999997</x:v>
      </x:c>
      <x:c r="M46" s="98" t="n">
        <x:f>'PnL_36M'!M$10*'Assumptions'!$H$56*(1+'Assumptions'!$B$8)^0</x:f>
        <x:v>37896.011999999995</x:v>
      </x:c>
      <x:c r="N46" s="98" t="n">
        <x:f>'PnL_36M'!N$10*'Assumptions'!$H$56*(1+'Assumptions'!$B$8)^1</x:f>
        <x:v>28373.88708</x:v>
      </x:c>
      <x:c r="O46" s="98" t="n">
        <x:f>'PnL_36M'!O$10*'Assumptions'!$H$56*(1+'Assumptions'!$B$8)^1</x:f>
        <x:v>27355.7592</x:v>
      </x:c>
      <x:c r="P46" s="98" t="n">
        <x:f>'PnL_36M'!P$10*'Assumptions'!$H$56*(1+'Assumptions'!$B$8)^1</x:f>
        <x:v>32837.19516</x:v>
      </x:c>
      <x:c r="Q46" s="98" t="n">
        <x:f>'PnL_36M'!Q$10*'Assumptions'!$H$56*(1+'Assumptions'!$B$8)^1</x:f>
        <x:v>34246.119600000005</x:v>
      </x:c>
      <x:c r="R46" s="98" t="n">
        <x:f>'PnL_36M'!R$10*'Assumptions'!$H$56*(1+'Assumptions'!$B$8)^1</x:f>
        <x:v>38575.73412</x:v>
      </x:c>
      <x:c r="S46" s="98" t="n">
        <x:f>'PnL_36M'!S$10*'Assumptions'!$H$56*(1+'Assumptions'!$B$8)^1</x:f>
        <x:v>42884.780399999996</x:v>
      </x:c>
      <x:c r="T46" s="98" t="n">
        <x:f>'PnL_36M'!T$10*'Assumptions'!$H$56*(1+'Assumptions'!$B$8)^1</x:f>
        <x:v>48139.96572</x:v>
      </x:c>
      <x:c r="U46" s="98" t="n">
        <x:f>'PnL_36M'!U$10*'Assumptions'!$H$56*(1+'Assumptions'!$B$8)^1</x:f>
        <x:v>45589.50396</x:v>
      </x:c>
      <x:c r="V46" s="98" t="n">
        <x:f>'PnL_36M'!V$10*'Assumptions'!$H$56*(1+'Assumptions'!$B$8)^1</x:f>
        <x:v>39182.4972</x:v>
      </x:c>
      <x:c r="W46" s="98" t="n">
        <x:f>'PnL_36M'!W$10*'Assumptions'!$H$56*(1+'Assumptions'!$B$8)^1</x:f>
        <x:v>36662.887800000004</x:v>
      </x:c>
      <x:c r="X46" s="98" t="n">
        <x:f>'PnL_36M'!X$10*'Assumptions'!$H$56*(1+'Assumptions'!$B$8)^1</x:f>
        <x:v>31777.930800000002</x:v>
      </x:c>
      <x:c r="Y46" s="98" t="n">
        <x:f>'PnL_36M'!Y$10*'Assumptions'!$H$56*(1+'Assumptions'!$B$8)^1</x:f>
        <x:v>41763.81132</x:v>
      </x:c>
      <x:c r="Z46" s="98" t="n">
        <x:f>'PnL_36M'!Z$10*'Assumptions'!$H$56*(1+'Assumptions'!$B$8)^2</x:f>
        <x:v>31428.0650376</x:v>
      </x:c>
      <x:c r="AA46" s="98" t="n">
        <x:f>'PnL_36M'!AA$10*'Assumptions'!$H$56*(1+'Assumptions'!$B$8)^2</x:f>
        <x:v>30218.0354784</x:v>
      </x:c>
      <x:c r="AB46" s="98" t="n">
        <x:f>'PnL_36M'!AB$10*'Assumptions'!$H$56*(1+'Assumptions'!$B$8)^2</x:f>
        <x:v>36159.171602400005</x:v>
      </x:c>
      <x:c r="AC46" s="98" t="n">
        <x:f>'PnL_36M'!AC$10*'Assumptions'!$H$56*(1+'Assumptions'!$B$8)^2</x:f>
        <x:v>37609.026840000006</x:v>
      </x:c>
      <x:c r="AD46" s="98" t="n">
        <x:f>'PnL_36M'!AD$10*'Assumptions'!$H$56*(1+'Assumptions'!$B$8)^2</x:f>
        <x:v>42242.0229</x:v>
      </x:c>
      <x:c r="AE46" s="98" t="n">
        <x:f>'PnL_36M'!AE$10*'Assumptions'!$H$56*(1+'Assumptions'!$B$8)^2</x:f>
        <x:v>46766.00728800001</x:v>
      </x:c>
      <x:c r="AF46" s="98" t="n">
        <x:f>'PnL_36M'!AF$10*'Assumptions'!$H$56*(1+'Assumptions'!$B$8)^2</x:f>
        <x:v>52380.10839600002</x:v>
      </x:c>
      <x:c r="AG46" s="98" t="n">
        <x:f>'PnL_36M'!AG$10*'Assumptions'!$H$56*(1+'Assumptions'!$B$8)^2</x:f>
        <x:v>49676.61893040001</x:v>
      </x:c>
      <x:c r="AH46" s="98" t="n">
        <x:f>'PnL_36M'!AH$10*'Assumptions'!$H$56*(1+'Assumptions'!$B$8)^2</x:f>
        <x:v>42841.587096</x:v>
      </x:c>
      <x:c r="AI46" s="98" t="n">
        <x:f>'PnL_36M'!AI$10*'Assumptions'!$H$56*(1+'Assumptions'!$B$8)^2</x:f>
        <x:v>40214.405800800014</x:v>
      </x:c>
      <x:c r="AJ46" s="98" t="n">
        <x:f>'PnL_36M'!AJ$10*'Assumptions'!$H$56*(1+'Assumptions'!$B$8)^2</x:f>
        <x:v>34992.74671200001</x:v>
      </x:c>
      <x:c r="AK46" s="98" t="n">
        <x:f>'PnL_36M'!AK$10*'Assumptions'!$H$56*(1+'Assumptions'!$B$8)^2</x:f>
        <x:v>45621.384732000006</x:v>
      </x:c>
      <x:c r="AL46" s="80"/>
      <x:c r="AM46" s="80"/>
      <x:c r="AN46" s="80"/>
      <x:c r="AO46" s="80"/>
      <x:c r="AP46" s="80"/>
      <x:c r="AQ46" s="80"/>
      <x:c r="AR46" s="80"/>
      <x:c r="AS46" s="80"/>
      <x:c r="AT46" s="80"/>
      <x:c r="AU46" s="80"/>
      <x:c r="AV46" s="80"/>
      <x:c r="AW46" s="80"/>
      <x:c r="AX46" s="80"/>
      <x:c r="AY46" s="80"/>
      <x:c r="AZ46" s="80"/>
    </x:row>
    <x:row r="47">
      <x:c r="A47" s="80" t="str">
        <x:v>Наружное освещение</x:v>
      </x:c>
      <x:c r="B47" s="98" t="n">
        <x:f>'Assumptions'!$H$57*(1+'Assumptions'!$B$8)^0</x:f>
        <x:v>45000</x:v>
      </x:c>
      <x:c r="C47" s="98" t="n">
        <x:f>'Assumptions'!$H$57*(1+'Assumptions'!$B$8)^0</x:f>
        <x:v>45000</x:v>
      </x:c>
      <x:c r="D47" s="98" t="n">
        <x:f>'Assumptions'!$H$57*(1+'Assumptions'!$B$8)^0</x:f>
        <x:v>45000</x:v>
      </x:c>
      <x:c r="E47" s="98" t="n">
        <x:f>'Assumptions'!$H$57*(1+'Assumptions'!$B$8)^0</x:f>
        <x:v>45000</x:v>
      </x:c>
      <x:c r="F47" s="98" t="n">
        <x:f>'Assumptions'!$H$57*(1+'Assumptions'!$B$8)^0</x:f>
        <x:v>45000</x:v>
      </x:c>
      <x:c r="G47" s="98" t="n">
        <x:f>'Assumptions'!$H$57*(1+'Assumptions'!$B$8)^0</x:f>
        <x:v>45000</x:v>
      </x:c>
      <x:c r="H47" s="98" t="n">
        <x:f>'Assumptions'!$H$57*(1+'Assumptions'!$B$8)^0</x:f>
        <x:v>45000</x:v>
      </x:c>
      <x:c r="I47" s="98" t="n">
        <x:f>'Assumptions'!$H$57*(1+'Assumptions'!$B$8)^0</x:f>
        <x:v>45000</x:v>
      </x:c>
      <x:c r="J47" s="98" t="n">
        <x:f>'Assumptions'!$H$57*(1+'Assumptions'!$B$8)^0</x:f>
        <x:v>45000</x:v>
      </x:c>
      <x:c r="K47" s="98" t="n">
        <x:f>'Assumptions'!$H$57*(1+'Assumptions'!$B$8)^0</x:f>
        <x:v>45000</x:v>
      </x:c>
      <x:c r="L47" s="98" t="n">
        <x:f>'Assumptions'!$H$57*(1+'Assumptions'!$B$8)^0</x:f>
        <x:v>45000</x:v>
      </x:c>
      <x:c r="M47" s="98" t="n">
        <x:f>'Assumptions'!$H$57*(1+'Assumptions'!$B$8)^0</x:f>
        <x:v>45000</x:v>
      </x:c>
      <x:c r="N47" s="98" t="n">
        <x:f>'Assumptions'!$H$57*(1+'Assumptions'!$B$8)^1</x:f>
        <x:v>47700</x:v>
      </x:c>
      <x:c r="O47" s="98" t="n">
        <x:f>'Assumptions'!$H$57*(1+'Assumptions'!$B$8)^1</x:f>
        <x:v>47700</x:v>
      </x:c>
      <x:c r="P47" s="98" t="n">
        <x:f>'Assumptions'!$H$57*(1+'Assumptions'!$B$8)^1</x:f>
        <x:v>47700</x:v>
      </x:c>
      <x:c r="Q47" s="98" t="n">
        <x:f>'Assumptions'!$H$57*(1+'Assumptions'!$B$8)^1</x:f>
        <x:v>47700</x:v>
      </x:c>
      <x:c r="R47" s="98" t="n">
        <x:f>'Assumptions'!$H$57*(1+'Assumptions'!$B$8)^1</x:f>
        <x:v>47700</x:v>
      </x:c>
      <x:c r="S47" s="98" t="n">
        <x:f>'Assumptions'!$H$57*(1+'Assumptions'!$B$8)^1</x:f>
        <x:v>47700</x:v>
      </x:c>
      <x:c r="T47" s="98" t="n">
        <x:f>'Assumptions'!$H$57*(1+'Assumptions'!$B$8)^1</x:f>
        <x:v>47700</x:v>
      </x:c>
      <x:c r="U47" s="98" t="n">
        <x:f>'Assumptions'!$H$57*(1+'Assumptions'!$B$8)^1</x:f>
        <x:v>47700</x:v>
      </x:c>
      <x:c r="V47" s="98" t="n">
        <x:f>'Assumptions'!$H$57*(1+'Assumptions'!$B$8)^1</x:f>
        <x:v>47700</x:v>
      </x:c>
      <x:c r="W47" s="98" t="n">
        <x:f>'Assumptions'!$H$57*(1+'Assumptions'!$B$8)^1</x:f>
        <x:v>47700</x:v>
      </x:c>
      <x:c r="X47" s="98" t="n">
        <x:f>'Assumptions'!$H$57*(1+'Assumptions'!$B$8)^1</x:f>
        <x:v>47700</x:v>
      </x:c>
      <x:c r="Y47" s="98" t="n">
        <x:f>'Assumptions'!$H$57*(1+'Assumptions'!$B$8)^1</x:f>
        <x:v>47700</x:v>
      </x:c>
      <x:c r="Z47" s="98" t="n">
        <x:f>'Assumptions'!$H$57*(1+'Assumptions'!$B$8)^2</x:f>
        <x:v>50562.00000000001</x:v>
      </x:c>
      <x:c r="AA47" s="98" t="n">
        <x:f>'Assumptions'!$H$57*(1+'Assumptions'!$B$8)^2</x:f>
        <x:v>50562.00000000001</x:v>
      </x:c>
      <x:c r="AB47" s="98" t="n">
        <x:f>'Assumptions'!$H$57*(1+'Assumptions'!$B$8)^2</x:f>
        <x:v>50562.00000000001</x:v>
      </x:c>
      <x:c r="AC47" s="98" t="n">
        <x:f>'Assumptions'!$H$57*(1+'Assumptions'!$B$8)^2</x:f>
        <x:v>50562.00000000001</x:v>
      </x:c>
      <x:c r="AD47" s="98" t="n">
        <x:f>'Assumptions'!$H$57*(1+'Assumptions'!$B$8)^2</x:f>
        <x:v>50562.00000000001</x:v>
      </x:c>
      <x:c r="AE47" s="98" t="n">
        <x:f>'Assumptions'!$H$57*(1+'Assumptions'!$B$8)^2</x:f>
        <x:v>50562.00000000001</x:v>
      </x:c>
      <x:c r="AF47" s="98" t="n">
        <x:f>'Assumptions'!$H$57*(1+'Assumptions'!$B$8)^2</x:f>
        <x:v>50562.00000000001</x:v>
      </x:c>
      <x:c r="AG47" s="98" t="n">
        <x:f>'Assumptions'!$H$57*(1+'Assumptions'!$B$8)^2</x:f>
        <x:v>50562.00000000001</x:v>
      </x:c>
      <x:c r="AH47" s="98" t="n">
        <x:f>'Assumptions'!$H$57*(1+'Assumptions'!$B$8)^2</x:f>
        <x:v>50562.00000000001</x:v>
      </x:c>
      <x:c r="AI47" s="98" t="n">
        <x:f>'Assumptions'!$H$57*(1+'Assumptions'!$B$8)^2</x:f>
        <x:v>50562.00000000001</x:v>
      </x:c>
      <x:c r="AJ47" s="98" t="n">
        <x:f>'Assumptions'!$H$57*(1+'Assumptions'!$B$8)^2</x:f>
        <x:v>50562.00000000001</x:v>
      </x:c>
      <x:c r="AK47" s="98" t="n">
        <x:f>'Assumptions'!$H$57*(1+'Assumptions'!$B$8)^2</x:f>
        <x:v>50562.00000000001</x:v>
      </x:c>
      <x:c r="AL47" s="80"/>
      <x:c r="AM47" s="80"/>
      <x:c r="AN47" s="80"/>
      <x:c r="AO47" s="80"/>
      <x:c r="AP47" s="80"/>
      <x:c r="AQ47" s="80"/>
      <x:c r="AR47" s="80"/>
      <x:c r="AS47" s="80"/>
      <x:c r="AT47" s="80"/>
      <x:c r="AU47" s="80"/>
      <x:c r="AV47" s="80"/>
      <x:c r="AW47" s="80"/>
      <x:c r="AX47" s="80"/>
      <x:c r="AY47" s="80"/>
      <x:c r="AZ47" s="80"/>
    </x:row>
    <x:row r="48">
      <x:c r="A48" s="99" t="str">
        <x:v>TOTAL UTILITIES</x:v>
      </x:c>
      <x:c r="B48" s="100" t="n">
        <x:f>SUM(B42:B47)</x:f>
        <x:v>227295.94950000005</x:v>
      </x:c>
      <x:c r="C48" s="100" t="n">
        <x:f>SUM(C42:C47)</x:f>
        <x:v>234871.8885</x:v>
      </x:c>
      <x:c r="D48" s="100" t="n">
        <x:f>SUM(D42:D47)</x:f>
        <x:v>259908.11999999997</x:v>
      </x:c>
      <x:c r="E48" s="100" t="n">
        <x:f>SUM(E42:E47)</x:f>
        <x:v>248003.766</x:v>
      </x:c>
      <x:c r="F48" s="100" t="n">
        <x:f>SUM(F42:F47)</x:f>
        <x:v>233830.6875</x:v>
      </x:c>
      <x:c r="G48" s="100" t="n">
        <x:f>SUM(G42:G47)</x:f>
        <x:v>227828.016</x:v>
      </x:c>
      <x:c r="H48" s="100" t="n">
        <x:f>SUM(H42:H47)</x:f>
        <x:v>240019.5492</x:v>
      </x:c>
      <x:c r="I48" s="100" t="n">
        <x:f>SUM(I42:I47)</x:f>
        <x:v>235231.965</x:v>
      </x:c>
      <x:c r="J48" s="100" t="n">
        <x:f>SUM(J42:J47)</x:f>
        <x:v>241035.52500000002</x:v>
      </x:c>
      <x:c r="K48" s="100" t="n">
        <x:f>SUM(K42:K47)</x:f>
        <x:v>277817.13000000006</x:v>
      </x:c>
      <x:c r="L48" s="100" t="n">
        <x:f>SUM(L42:L47)</x:f>
        <x:v>290290.815</x:v>
      </x:c>
      <x:c r="M48" s="100" t="n">
        <x:f>SUM(M42:M47)</x:f>
        <x:v>386508.4155</x:v>
      </x:c>
      <x:c r="N48" s="100" t="n">
        <x:f>SUM(N42:N47)</x:f>
        <x:v>322972.35214500007</x:v>
      </x:c>
      <x:c r="O48" s="100" t="n">
        <x:f>SUM(O42:O47)</x:f>
        <x:v>300953.4669</x:v>
      </x:c>
      <x:c r="P48" s="100" t="n">
        <x:f>SUM(P42:P47)</x:f>
        <x:v>321831.16542000003</x:v>
      </x:c>
      <x:c r="Q48" s="100" t="n">
        <x:f>SUM(Q42:Q47)</x:f>
        <x:v>290133.63774000003</x:v>
      </x:c>
      <x:c r="R48" s="100" t="n">
        <x:f>SUM(R42:R47)</x:f>
        <x:v>261210.60202500003</x:v>
      </x:c>
      <x:c r="S48" s="100" t="n">
        <x:f>SUM(S42:S47)</x:f>
        <x:v>246321.88416</x:v>
      </x:c>
      <x:c r="T48" s="100" t="n">
        <x:f>SUM(T42:T47)</x:f>
        <x:v>259217.32921200004</x:v>
      </x:c>
      <x:c r="U48" s="100" t="n">
        <x:f>SUM(U42:U47)</x:f>
        <x:v>254236.68315000003</x:v>
      </x:c>
      <x:c r="V48" s="100" t="n">
        <x:f>SUM(V42:V47)</x:f>
        <x:v>261370.12274999998</x:v>
      </x:c>
      <x:c r="W48" s="100" t="n">
        <x:f>SUM(W42:W47)</x:f>
        <x:v>302673.7197</x:v>
      </x:c>
      <x:c r="X48" s="100" t="n">
        <x:f>SUM(X42:X47)</x:f>
        <x:v>317682.69165000005</x:v>
      </x:c>
      <x:c r="Y48" s="100" t="n">
        <x:f>SUM(Y42:Y47)</x:f>
        <x:v>421418.72695499996</x:v>
      </x:c>
      <x:c r="Z48" s="100" t="n">
        <x:f>SUM(Z42:Z47)</x:f>
        <x:v>352289.08920690004</x:v>
      </x:c>
      <x:c r="AA48" s="100" t="n">
        <x:f>SUM(AA42:AA47)</x:f>
        <x:v>327626.5610628</x:v>
      </x:c>
      <x:c r="AB48" s="100" t="n">
        <x:f>SUM(AB42:AB47)</x:f>
        <x:v>349681.6043388</x:v>
      </x:c>
      <x:c r="AC48" s="100" t="n">
        <x:f>SUM(AC42:AC47)</x:f>
        <x:v>314338.03824600007</x:v>
      </x:c>
      <x:c r="AD48" s="100" t="n">
        <x:f>SUM(AD42:AD47)</x:f>
        <x:v>282029.0845725001</x:v>
      </x:c>
      <x:c r="AE48" s="100" t="n">
        <x:f>SUM(AE42:AE47)</x:f>
        <x:v>265192.1079552001</x:v>
      </x:c>
      <x:c r="AF48" s="100" t="n">
        <x:f>SUM(AF42:AF47)</x:f>
        <x:v>278837.8917516001</x:v>
      </x:c>
      <x:c r="AG48" s="100" t="n">
        <x:f>SUM(AG42:AG47)</x:f>
        <x:v>273638.2827510001</x:v>
      </x:c>
      <x:c r="AH48" s="100" t="n">
        <x:f>SUM(AH42:AH47)</x:f>
        <x:v>282032.1814950001</x:v>
      </x:c>
      <x:c r="AI48" s="100" t="n">
        <x:f>SUM(AI42:AI47)</x:f>
        <x:v>327777.1953732001</x:v>
      </x:c>
      <x:c r="AJ48" s="100" t="n">
        <x:f>SUM(AJ42:AJ47)</x:f>
        <x:v>345201.9678810001</x:v>
      </x:c>
      <x:c r="AK48" s="100" t="n">
        <x:f>SUM(AK42:AK47)</x:f>
        <x:v>456642.2465055001</x:v>
      </x:c>
      <x:c r="AL48" s="80"/>
      <x:c r="AM48" s="80"/>
      <x:c r="AN48" s="80"/>
      <x:c r="AO48" s="80"/>
      <x:c r="AP48" s="80"/>
      <x:c r="AQ48" s="80"/>
      <x:c r="AR48" s="80"/>
      <x:c r="AS48" s="80"/>
      <x:c r="AT48" s="80"/>
      <x:c r="AU48" s="80"/>
      <x:c r="AV48" s="80"/>
      <x:c r="AW48" s="80"/>
      <x:c r="AX48" s="80"/>
      <x:c r="AY48" s="80"/>
      <x:c r="AZ48" s="80"/>
    </x:row>
    <x:row r="49">
      <x:c r="A49" s="80"/>
      <x:c r="B49" s="98"/>
      <x:c r="C49" s="98"/>
      <x:c r="D49" s="98"/>
      <x:c r="E49" s="98"/>
      <x:c r="F49" s="98"/>
      <x:c r="G49" s="98"/>
      <x:c r="H49" s="98"/>
      <x:c r="I49" s="98"/>
      <x:c r="J49" s="98"/>
      <x:c r="K49" s="98"/>
      <x:c r="L49" s="98"/>
      <x:c r="M49" s="98"/>
      <x:c r="N49" s="98"/>
      <x:c r="O49" s="98"/>
      <x:c r="P49" s="98"/>
      <x:c r="Q49" s="98"/>
      <x:c r="R49" s="98"/>
      <x:c r="S49" s="98"/>
      <x:c r="T49" s="98"/>
      <x:c r="U49" s="98"/>
      <x:c r="V49" s="98"/>
      <x:c r="W49" s="98"/>
      <x:c r="X49" s="98"/>
      <x:c r="Y49" s="98"/>
      <x:c r="Z49" s="98"/>
      <x:c r="AA49" s="98"/>
      <x:c r="AB49" s="98"/>
      <x:c r="AC49" s="98"/>
      <x:c r="AD49" s="98"/>
      <x:c r="AE49" s="98"/>
      <x:c r="AF49" s="98"/>
      <x:c r="AG49" s="98"/>
      <x:c r="AH49" s="98"/>
      <x:c r="AI49" s="98"/>
      <x:c r="AJ49" s="98"/>
      <x:c r="AK49" s="98"/>
      <x:c r="AL49" s="80"/>
      <x:c r="AM49" s="80"/>
      <x:c r="AN49" s="80"/>
      <x:c r="AO49" s="80"/>
      <x:c r="AP49" s="80"/>
      <x:c r="AQ49" s="80"/>
      <x:c r="AR49" s="80"/>
      <x:c r="AS49" s="80"/>
      <x:c r="AT49" s="80"/>
      <x:c r="AU49" s="80"/>
      <x:c r="AV49" s="80"/>
      <x:c r="AW49" s="80"/>
      <x:c r="AX49" s="80"/>
      <x:c r="AY49" s="80"/>
      <x:c r="AZ49" s="80"/>
    </x:row>
    <x:row r="50" ht="22" customHeight="1">
      <x:c r="A50" s="106" t="str">
        <x:v>ПРОЧИЙ ПОСТОЯННЫЙ OPEX</x:v>
      </x:c>
      <x:c r="B50" s="107"/>
      <x:c r="C50" s="107"/>
      <x:c r="D50" s="107"/>
      <x:c r="E50" s="107"/>
      <x:c r="F50" s="107"/>
      <x:c r="G50" s="107"/>
      <x:c r="H50" s="107"/>
      <x:c r="I50" s="107"/>
      <x:c r="J50" s="107"/>
      <x:c r="K50" s="107"/>
      <x:c r="L50" s="107"/>
      <x:c r="M50" s="107"/>
      <x:c r="N50" s="107"/>
      <x:c r="O50" s="107"/>
      <x:c r="P50" s="107"/>
      <x:c r="Q50" s="107"/>
      <x:c r="R50" s="107"/>
      <x:c r="S50" s="107"/>
      <x:c r="T50" s="107"/>
      <x:c r="U50" s="107"/>
      <x:c r="V50" s="107"/>
      <x:c r="W50" s="107"/>
      <x:c r="X50" s="107"/>
      <x:c r="Y50" s="107"/>
      <x:c r="Z50" s="107"/>
      <x:c r="AA50" s="107"/>
      <x:c r="AB50" s="107"/>
      <x:c r="AC50" s="107"/>
      <x:c r="AD50" s="107"/>
      <x:c r="AE50" s="107"/>
      <x:c r="AF50" s="107"/>
      <x:c r="AG50" s="107"/>
      <x:c r="AH50" s="107"/>
      <x:c r="AI50" s="107"/>
      <x:c r="AJ50" s="107"/>
      <x:c r="AK50" s="107"/>
      <x:c r="AL50" s="80"/>
      <x:c r="AM50" s="80"/>
      <x:c r="AN50" s="80"/>
      <x:c r="AO50" s="80"/>
      <x:c r="AP50" s="80"/>
      <x:c r="AQ50" s="80"/>
      <x:c r="AR50" s="80"/>
      <x:c r="AS50" s="80"/>
      <x:c r="AT50" s="80"/>
      <x:c r="AU50" s="80"/>
      <x:c r="AV50" s="80"/>
      <x:c r="AW50" s="80"/>
      <x:c r="AX50" s="80"/>
      <x:c r="AY50" s="80"/>
      <x:c r="AZ50" s="80"/>
    </x:row>
    <x:row r="51">
      <x:c r="A51" s="80" t="str">
        <x:v>Содержание территории</x:v>
      </x:c>
      <x:c r="B51" s="98" t="n">
        <x:f>'Assumptions'!$H$58*(1+'Assumptions'!$B$8)^0</x:f>
        <x:v>95000</x:v>
      </x:c>
      <x:c r="C51" s="98" t="n">
        <x:f>'Assumptions'!$H$58*(1+'Assumptions'!$B$8)^0</x:f>
        <x:v>95000</x:v>
      </x:c>
      <x:c r="D51" s="98" t="n">
        <x:f>'Assumptions'!$H$58*(1+'Assumptions'!$B$8)^0</x:f>
        <x:v>95000</x:v>
      </x:c>
      <x:c r="E51" s="98" t="n">
        <x:f>'Assumptions'!$H$58*(1+'Assumptions'!$B$8)^0</x:f>
        <x:v>95000</x:v>
      </x:c>
      <x:c r="F51" s="98" t="n">
        <x:f>'Assumptions'!$H$58*(1+'Assumptions'!$B$8)^0</x:f>
        <x:v>95000</x:v>
      </x:c>
      <x:c r="G51" s="98" t="n">
        <x:f>'Assumptions'!$H$58*(1+'Assumptions'!$B$8)^0</x:f>
        <x:v>95000</x:v>
      </x:c>
      <x:c r="H51" s="98" t="n">
        <x:f>'Assumptions'!$H$58*(1+'Assumptions'!$B$8)^0</x:f>
        <x:v>95000</x:v>
      </x:c>
      <x:c r="I51" s="98" t="n">
        <x:f>'Assumptions'!$H$58*(1+'Assumptions'!$B$8)^0</x:f>
        <x:v>95000</x:v>
      </x:c>
      <x:c r="J51" s="98" t="n">
        <x:f>'Assumptions'!$H$58*(1+'Assumptions'!$B$8)^0</x:f>
        <x:v>95000</x:v>
      </x:c>
      <x:c r="K51" s="98" t="n">
        <x:f>'Assumptions'!$H$58*(1+'Assumptions'!$B$8)^0</x:f>
        <x:v>95000</x:v>
      </x:c>
      <x:c r="L51" s="98" t="n">
        <x:f>'Assumptions'!$H$58*(1+'Assumptions'!$B$8)^0</x:f>
        <x:v>95000</x:v>
      </x:c>
      <x:c r="M51" s="98" t="n">
        <x:f>'Assumptions'!$H$58*(1+'Assumptions'!$B$8)^0</x:f>
        <x:v>95000</x:v>
      </x:c>
      <x:c r="N51" s="98" t="n">
        <x:f>'Assumptions'!$H$58*(1+'Assumptions'!$B$8)^1</x:f>
        <x:v>100700</x:v>
      </x:c>
      <x:c r="O51" s="98" t="n">
        <x:f>'Assumptions'!$H$58*(1+'Assumptions'!$B$8)^1</x:f>
        <x:v>100700</x:v>
      </x:c>
      <x:c r="P51" s="98" t="n">
        <x:f>'Assumptions'!$H$58*(1+'Assumptions'!$B$8)^1</x:f>
        <x:v>100700</x:v>
      </x:c>
      <x:c r="Q51" s="98" t="n">
        <x:f>'Assumptions'!$H$58*(1+'Assumptions'!$B$8)^1</x:f>
        <x:v>100700</x:v>
      </x:c>
      <x:c r="R51" s="98" t="n">
        <x:f>'Assumptions'!$H$58*(1+'Assumptions'!$B$8)^1</x:f>
        <x:v>100700</x:v>
      </x:c>
      <x:c r="S51" s="98" t="n">
        <x:f>'Assumptions'!$H$58*(1+'Assumptions'!$B$8)^1</x:f>
        <x:v>100700</x:v>
      </x:c>
      <x:c r="T51" s="98" t="n">
        <x:f>'Assumptions'!$H$58*(1+'Assumptions'!$B$8)^1</x:f>
        <x:v>100700</x:v>
      </x:c>
      <x:c r="U51" s="98" t="n">
        <x:f>'Assumptions'!$H$58*(1+'Assumptions'!$B$8)^1</x:f>
        <x:v>100700</x:v>
      </x:c>
      <x:c r="V51" s="98" t="n">
        <x:f>'Assumptions'!$H$58*(1+'Assumptions'!$B$8)^1</x:f>
        <x:v>100700</x:v>
      </x:c>
      <x:c r="W51" s="98" t="n">
        <x:f>'Assumptions'!$H$58*(1+'Assumptions'!$B$8)^1</x:f>
        <x:v>100700</x:v>
      </x:c>
      <x:c r="X51" s="98" t="n">
        <x:f>'Assumptions'!$H$58*(1+'Assumptions'!$B$8)^1</x:f>
        <x:v>100700</x:v>
      </x:c>
      <x:c r="Y51" s="98" t="n">
        <x:f>'Assumptions'!$H$58*(1+'Assumptions'!$B$8)^1</x:f>
        <x:v>100700</x:v>
      </x:c>
      <x:c r="Z51" s="98" t="n">
        <x:f>'Assumptions'!$H$58*(1+'Assumptions'!$B$8)^2</x:f>
        <x:v>106742.00000000001</x:v>
      </x:c>
      <x:c r="AA51" s="98" t="n">
        <x:f>'Assumptions'!$H$58*(1+'Assumptions'!$B$8)^2</x:f>
        <x:v>106742.00000000001</x:v>
      </x:c>
      <x:c r="AB51" s="98" t="n">
        <x:f>'Assumptions'!$H$58*(1+'Assumptions'!$B$8)^2</x:f>
        <x:v>106742.00000000001</x:v>
      </x:c>
      <x:c r="AC51" s="98" t="n">
        <x:f>'Assumptions'!$H$58*(1+'Assumptions'!$B$8)^2</x:f>
        <x:v>106742.00000000001</x:v>
      </x:c>
      <x:c r="AD51" s="98" t="n">
        <x:f>'Assumptions'!$H$58*(1+'Assumptions'!$B$8)^2</x:f>
        <x:v>106742.00000000001</x:v>
      </x:c>
      <x:c r="AE51" s="98" t="n">
        <x:f>'Assumptions'!$H$58*(1+'Assumptions'!$B$8)^2</x:f>
        <x:v>106742.00000000001</x:v>
      </x:c>
      <x:c r="AF51" s="98" t="n">
        <x:f>'Assumptions'!$H$58*(1+'Assumptions'!$B$8)^2</x:f>
        <x:v>106742.00000000001</x:v>
      </x:c>
      <x:c r="AG51" s="98" t="n">
        <x:f>'Assumptions'!$H$58*(1+'Assumptions'!$B$8)^2</x:f>
        <x:v>106742.00000000001</x:v>
      </x:c>
      <x:c r="AH51" s="98" t="n">
        <x:f>'Assumptions'!$H$58*(1+'Assumptions'!$B$8)^2</x:f>
        <x:v>106742.00000000001</x:v>
      </x:c>
      <x:c r="AI51" s="98" t="n">
        <x:f>'Assumptions'!$H$58*(1+'Assumptions'!$B$8)^2</x:f>
        <x:v>106742.00000000001</x:v>
      </x:c>
      <x:c r="AJ51" s="98" t="n">
        <x:f>'Assumptions'!$H$58*(1+'Assumptions'!$B$8)^2</x:f>
        <x:v>106742.00000000001</x:v>
      </x:c>
      <x:c r="AK51" s="98" t="n">
        <x:f>'Assumptions'!$H$58*(1+'Assumptions'!$B$8)^2</x:f>
        <x:v>106742.00000000001</x:v>
      </x:c>
      <x:c r="AL51" s="80"/>
      <x:c r="AM51" s="80"/>
      <x:c r="AN51" s="80"/>
      <x:c r="AO51" s="80"/>
      <x:c r="AP51" s="80"/>
      <x:c r="AQ51" s="80"/>
      <x:c r="AR51" s="80"/>
      <x:c r="AS51" s="80"/>
      <x:c r="AT51" s="80"/>
      <x:c r="AU51" s="80"/>
      <x:c r="AV51" s="80"/>
      <x:c r="AW51" s="80"/>
      <x:c r="AX51" s="80"/>
      <x:c r="AY51" s="80"/>
      <x:c r="AZ51" s="80"/>
    </x:row>
    <x:row r="52">
      <x:c r="A52" s="80" t="str">
        <x:v>Вывоз отходов</x:v>
      </x:c>
      <x:c r="B52" s="98" t="n">
        <x:f>'Assumptions'!$H$59*(1+'Assumptions'!$B$8)^0</x:f>
        <x:v>30000</x:v>
      </x:c>
      <x:c r="C52" s="98" t="n">
        <x:f>'Assumptions'!$H$59*(1+'Assumptions'!$B$8)^0</x:f>
        <x:v>30000</x:v>
      </x:c>
      <x:c r="D52" s="98" t="n">
        <x:f>'Assumptions'!$H$59*(1+'Assumptions'!$B$8)^0</x:f>
        <x:v>30000</x:v>
      </x:c>
      <x:c r="E52" s="98" t="n">
        <x:f>'Assumptions'!$H$59*(1+'Assumptions'!$B$8)^0</x:f>
        <x:v>30000</x:v>
      </x:c>
      <x:c r="F52" s="98" t="n">
        <x:f>'Assumptions'!$H$59*(1+'Assumptions'!$B$8)^0</x:f>
        <x:v>30000</x:v>
      </x:c>
      <x:c r="G52" s="98" t="n">
        <x:f>'Assumptions'!$H$59*(1+'Assumptions'!$B$8)^0</x:f>
        <x:v>30000</x:v>
      </x:c>
      <x:c r="H52" s="98" t="n">
        <x:f>'Assumptions'!$H$59*(1+'Assumptions'!$B$8)^0</x:f>
        <x:v>30000</x:v>
      </x:c>
      <x:c r="I52" s="98" t="n">
        <x:f>'Assumptions'!$H$59*(1+'Assumptions'!$B$8)^0</x:f>
        <x:v>30000</x:v>
      </x:c>
      <x:c r="J52" s="98" t="n">
        <x:f>'Assumptions'!$H$59*(1+'Assumptions'!$B$8)^0</x:f>
        <x:v>30000</x:v>
      </x:c>
      <x:c r="K52" s="98" t="n">
        <x:f>'Assumptions'!$H$59*(1+'Assumptions'!$B$8)^0</x:f>
        <x:v>30000</x:v>
      </x:c>
      <x:c r="L52" s="98" t="n">
        <x:f>'Assumptions'!$H$59*(1+'Assumptions'!$B$8)^0</x:f>
        <x:v>30000</x:v>
      </x:c>
      <x:c r="M52" s="98" t="n">
        <x:f>'Assumptions'!$H$59*(1+'Assumptions'!$B$8)^0</x:f>
        <x:v>30000</x:v>
      </x:c>
      <x:c r="N52" s="98" t="n">
        <x:f>'Assumptions'!$H$59*(1+'Assumptions'!$B$8)^1</x:f>
        <x:v>31800</x:v>
      </x:c>
      <x:c r="O52" s="98" t="n">
        <x:f>'Assumptions'!$H$59*(1+'Assumptions'!$B$8)^1</x:f>
        <x:v>31800</x:v>
      </x:c>
      <x:c r="P52" s="98" t="n">
        <x:f>'Assumptions'!$H$59*(1+'Assumptions'!$B$8)^1</x:f>
        <x:v>31800</x:v>
      </x:c>
      <x:c r="Q52" s="98" t="n">
        <x:f>'Assumptions'!$H$59*(1+'Assumptions'!$B$8)^1</x:f>
        <x:v>31800</x:v>
      </x:c>
      <x:c r="R52" s="98" t="n">
        <x:f>'Assumptions'!$H$59*(1+'Assumptions'!$B$8)^1</x:f>
        <x:v>31800</x:v>
      </x:c>
      <x:c r="S52" s="98" t="n">
        <x:f>'Assumptions'!$H$59*(1+'Assumptions'!$B$8)^1</x:f>
        <x:v>31800</x:v>
      </x:c>
      <x:c r="T52" s="98" t="n">
        <x:f>'Assumptions'!$H$59*(1+'Assumptions'!$B$8)^1</x:f>
        <x:v>31800</x:v>
      </x:c>
      <x:c r="U52" s="98" t="n">
        <x:f>'Assumptions'!$H$59*(1+'Assumptions'!$B$8)^1</x:f>
        <x:v>31800</x:v>
      </x:c>
      <x:c r="V52" s="98" t="n">
        <x:f>'Assumptions'!$H$59*(1+'Assumptions'!$B$8)^1</x:f>
        <x:v>31800</x:v>
      </x:c>
      <x:c r="W52" s="98" t="n">
        <x:f>'Assumptions'!$H$59*(1+'Assumptions'!$B$8)^1</x:f>
        <x:v>31800</x:v>
      </x:c>
      <x:c r="X52" s="98" t="n">
        <x:f>'Assumptions'!$H$59*(1+'Assumptions'!$B$8)^1</x:f>
        <x:v>31800</x:v>
      </x:c>
      <x:c r="Y52" s="98" t="n">
        <x:f>'Assumptions'!$H$59*(1+'Assumptions'!$B$8)^1</x:f>
        <x:v>31800</x:v>
      </x:c>
      <x:c r="Z52" s="98" t="n">
        <x:f>'Assumptions'!$H$59*(1+'Assumptions'!$B$8)^2</x:f>
        <x:v>33708.00000000001</x:v>
      </x:c>
      <x:c r="AA52" s="98" t="n">
        <x:f>'Assumptions'!$H$59*(1+'Assumptions'!$B$8)^2</x:f>
        <x:v>33708.00000000001</x:v>
      </x:c>
      <x:c r="AB52" s="98" t="n">
        <x:f>'Assumptions'!$H$59*(1+'Assumptions'!$B$8)^2</x:f>
        <x:v>33708.00000000001</x:v>
      </x:c>
      <x:c r="AC52" s="98" t="n">
        <x:f>'Assumptions'!$H$59*(1+'Assumptions'!$B$8)^2</x:f>
        <x:v>33708.00000000001</x:v>
      </x:c>
      <x:c r="AD52" s="98" t="n">
        <x:f>'Assumptions'!$H$59*(1+'Assumptions'!$B$8)^2</x:f>
        <x:v>33708.00000000001</x:v>
      </x:c>
      <x:c r="AE52" s="98" t="n">
        <x:f>'Assumptions'!$H$59*(1+'Assumptions'!$B$8)^2</x:f>
        <x:v>33708.00000000001</x:v>
      </x:c>
      <x:c r="AF52" s="98" t="n">
        <x:f>'Assumptions'!$H$59*(1+'Assumptions'!$B$8)^2</x:f>
        <x:v>33708.00000000001</x:v>
      </x:c>
      <x:c r="AG52" s="98" t="n">
        <x:f>'Assumptions'!$H$59*(1+'Assumptions'!$B$8)^2</x:f>
        <x:v>33708.00000000001</x:v>
      </x:c>
      <x:c r="AH52" s="98" t="n">
        <x:f>'Assumptions'!$H$59*(1+'Assumptions'!$B$8)^2</x:f>
        <x:v>33708.00000000001</x:v>
      </x:c>
      <x:c r="AI52" s="98" t="n">
        <x:f>'Assumptions'!$H$59*(1+'Assumptions'!$B$8)^2</x:f>
        <x:v>33708.00000000001</x:v>
      </x:c>
      <x:c r="AJ52" s="98" t="n">
        <x:f>'Assumptions'!$H$59*(1+'Assumptions'!$B$8)^2</x:f>
        <x:v>33708.00000000001</x:v>
      </x:c>
      <x:c r="AK52" s="98" t="n">
        <x:f>'Assumptions'!$H$59*(1+'Assumptions'!$B$8)^2</x:f>
        <x:v>33708.00000000001</x:v>
      </x:c>
      <x:c r="AL52" s="80"/>
      <x:c r="AM52" s="80"/>
      <x:c r="AN52" s="80"/>
      <x:c r="AO52" s="80"/>
      <x:c r="AP52" s="80"/>
      <x:c r="AQ52" s="80"/>
      <x:c r="AR52" s="80"/>
      <x:c r="AS52" s="80"/>
      <x:c r="AT52" s="80"/>
      <x:c r="AU52" s="80"/>
      <x:c r="AV52" s="80"/>
      <x:c r="AW52" s="80"/>
      <x:c r="AX52" s="80"/>
      <x:c r="AY52" s="80"/>
      <x:c r="AZ52" s="80"/>
    </x:row>
    <x:row r="53">
      <x:c r="A53" s="80" t="str">
        <x:v>Пест-контроль</x:v>
      </x:c>
      <x:c r="B53" s="98" t="n">
        <x:f>'Assumptions'!$H$60*(1+'Assumptions'!$B$8)^0</x:f>
        <x:v>10000</x:v>
      </x:c>
      <x:c r="C53" s="98" t="n">
        <x:f>'Assumptions'!$H$60*(1+'Assumptions'!$B$8)^0</x:f>
        <x:v>10000</x:v>
      </x:c>
      <x:c r="D53" s="98" t="n">
        <x:f>'Assumptions'!$H$60*(1+'Assumptions'!$B$8)^0</x:f>
        <x:v>10000</x:v>
      </x:c>
      <x:c r="E53" s="98" t="n">
        <x:f>'Assumptions'!$H$60*(1+'Assumptions'!$B$8)^0</x:f>
        <x:v>10000</x:v>
      </x:c>
      <x:c r="F53" s="98" t="n">
        <x:f>'Assumptions'!$H$60*(1+'Assumptions'!$B$8)^0</x:f>
        <x:v>10000</x:v>
      </x:c>
      <x:c r="G53" s="98" t="n">
        <x:f>'Assumptions'!$H$60*(1+'Assumptions'!$B$8)^0</x:f>
        <x:v>10000</x:v>
      </x:c>
      <x:c r="H53" s="98" t="n">
        <x:f>'Assumptions'!$H$60*(1+'Assumptions'!$B$8)^0</x:f>
        <x:v>10000</x:v>
      </x:c>
      <x:c r="I53" s="98" t="n">
        <x:f>'Assumptions'!$H$60*(1+'Assumptions'!$B$8)^0</x:f>
        <x:v>10000</x:v>
      </x:c>
      <x:c r="J53" s="98" t="n">
        <x:f>'Assumptions'!$H$60*(1+'Assumptions'!$B$8)^0</x:f>
        <x:v>10000</x:v>
      </x:c>
      <x:c r="K53" s="98" t="n">
        <x:f>'Assumptions'!$H$60*(1+'Assumptions'!$B$8)^0</x:f>
        <x:v>10000</x:v>
      </x:c>
      <x:c r="L53" s="98" t="n">
        <x:f>'Assumptions'!$H$60*(1+'Assumptions'!$B$8)^0</x:f>
        <x:v>10000</x:v>
      </x:c>
      <x:c r="M53" s="98" t="n">
        <x:f>'Assumptions'!$H$60*(1+'Assumptions'!$B$8)^0</x:f>
        <x:v>10000</x:v>
      </x:c>
      <x:c r="N53" s="98" t="n">
        <x:f>'Assumptions'!$H$60*(1+'Assumptions'!$B$8)^1</x:f>
        <x:v>10600</x:v>
      </x:c>
      <x:c r="O53" s="98" t="n">
        <x:f>'Assumptions'!$H$60*(1+'Assumptions'!$B$8)^1</x:f>
        <x:v>10600</x:v>
      </x:c>
      <x:c r="P53" s="98" t="n">
        <x:f>'Assumptions'!$H$60*(1+'Assumptions'!$B$8)^1</x:f>
        <x:v>10600</x:v>
      </x:c>
      <x:c r="Q53" s="98" t="n">
        <x:f>'Assumptions'!$H$60*(1+'Assumptions'!$B$8)^1</x:f>
        <x:v>10600</x:v>
      </x:c>
      <x:c r="R53" s="98" t="n">
        <x:f>'Assumptions'!$H$60*(1+'Assumptions'!$B$8)^1</x:f>
        <x:v>10600</x:v>
      </x:c>
      <x:c r="S53" s="98" t="n">
        <x:f>'Assumptions'!$H$60*(1+'Assumptions'!$B$8)^1</x:f>
        <x:v>10600</x:v>
      </x:c>
      <x:c r="T53" s="98" t="n">
        <x:f>'Assumptions'!$H$60*(1+'Assumptions'!$B$8)^1</x:f>
        <x:v>10600</x:v>
      </x:c>
      <x:c r="U53" s="98" t="n">
        <x:f>'Assumptions'!$H$60*(1+'Assumptions'!$B$8)^1</x:f>
        <x:v>10600</x:v>
      </x:c>
      <x:c r="V53" s="98" t="n">
        <x:f>'Assumptions'!$H$60*(1+'Assumptions'!$B$8)^1</x:f>
        <x:v>10600</x:v>
      </x:c>
      <x:c r="W53" s="98" t="n">
        <x:f>'Assumptions'!$H$60*(1+'Assumptions'!$B$8)^1</x:f>
        <x:v>10600</x:v>
      </x:c>
      <x:c r="X53" s="98" t="n">
        <x:f>'Assumptions'!$H$60*(1+'Assumptions'!$B$8)^1</x:f>
        <x:v>10600</x:v>
      </x:c>
      <x:c r="Y53" s="98" t="n">
        <x:f>'Assumptions'!$H$60*(1+'Assumptions'!$B$8)^1</x:f>
        <x:v>10600</x:v>
      </x:c>
      <x:c r="Z53" s="98" t="n">
        <x:f>'Assumptions'!$H$60*(1+'Assumptions'!$B$8)^2</x:f>
        <x:v>11236.000000000002</x:v>
      </x:c>
      <x:c r="AA53" s="98" t="n">
        <x:f>'Assumptions'!$H$60*(1+'Assumptions'!$B$8)^2</x:f>
        <x:v>11236.000000000002</x:v>
      </x:c>
      <x:c r="AB53" s="98" t="n">
        <x:f>'Assumptions'!$H$60*(1+'Assumptions'!$B$8)^2</x:f>
        <x:v>11236.000000000002</x:v>
      </x:c>
      <x:c r="AC53" s="98" t="n">
        <x:f>'Assumptions'!$H$60*(1+'Assumptions'!$B$8)^2</x:f>
        <x:v>11236.000000000002</x:v>
      </x:c>
      <x:c r="AD53" s="98" t="n">
        <x:f>'Assumptions'!$H$60*(1+'Assumptions'!$B$8)^2</x:f>
        <x:v>11236.000000000002</x:v>
      </x:c>
      <x:c r="AE53" s="98" t="n">
        <x:f>'Assumptions'!$H$60*(1+'Assumptions'!$B$8)^2</x:f>
        <x:v>11236.000000000002</x:v>
      </x:c>
      <x:c r="AF53" s="98" t="n">
        <x:f>'Assumptions'!$H$60*(1+'Assumptions'!$B$8)^2</x:f>
        <x:v>11236.000000000002</x:v>
      </x:c>
      <x:c r="AG53" s="98" t="n">
        <x:f>'Assumptions'!$H$60*(1+'Assumptions'!$B$8)^2</x:f>
        <x:v>11236.000000000002</x:v>
      </x:c>
      <x:c r="AH53" s="98" t="n">
        <x:f>'Assumptions'!$H$60*(1+'Assumptions'!$B$8)^2</x:f>
        <x:v>11236.000000000002</x:v>
      </x:c>
      <x:c r="AI53" s="98" t="n">
        <x:f>'Assumptions'!$H$60*(1+'Assumptions'!$B$8)^2</x:f>
        <x:v>11236.000000000002</x:v>
      </x:c>
      <x:c r="AJ53" s="98" t="n">
        <x:f>'Assumptions'!$H$60*(1+'Assumptions'!$B$8)^2</x:f>
        <x:v>11236.000000000002</x:v>
      </x:c>
      <x:c r="AK53" s="98" t="n">
        <x:f>'Assumptions'!$H$60*(1+'Assumptions'!$B$8)^2</x:f>
        <x:v>11236.000000000002</x:v>
      </x:c>
      <x:c r="AL53" s="80"/>
      <x:c r="AM53" s="80"/>
      <x:c r="AN53" s="80"/>
      <x:c r="AO53" s="80"/>
      <x:c r="AP53" s="80"/>
      <x:c r="AQ53" s="80"/>
      <x:c r="AR53" s="80"/>
      <x:c r="AS53" s="80"/>
      <x:c r="AT53" s="80"/>
      <x:c r="AU53" s="80"/>
      <x:c r="AV53" s="80"/>
      <x:c r="AW53" s="80"/>
      <x:c r="AX53" s="80"/>
      <x:c r="AY53" s="80"/>
      <x:c r="AZ53" s="80"/>
    </x:row>
    <x:row r="54">
      <x:c r="A54" s="80" t="str">
        <x:v>Ремонтный резерв</x:v>
      </x:c>
      <x:c r="B54" s="98" t="n">
        <x:f>'PnL_36M'!B$19*'Assumptions'!$H$61</x:f>
        <x:v>30263.51057448728</x:v>
      </x:c>
      <x:c r="C54" s="98" t="n">
        <x:f>'PnL_36M'!C$19*'Assumptions'!$H$61</x:f>
        <x:v>35346.12431330909</x:v>
      </x:c>
      <x:c r="D54" s="98" t="n">
        <x:f>'PnL_36M'!D$19*'Assumptions'!$H$61</x:f>
        <x:v>47104.66957315636</x:v>
      </x:c>
      <x:c r="E54" s="98" t="n">
        <x:f>'PnL_36M'!E$19*'Assumptions'!$H$61</x:f>
        <x:v>55432.52514392727</x:v>
      </x:c>
      <x:c r="F54" s="98" t="n">
        <x:f>'PnL_36M'!F$19*'Assumptions'!$H$61</x:f>
        <x:v>69273.17293929453</x:v>
      </x:c>
      <x:c r="G54" s="98" t="n">
        <x:f>'PnL_36M'!G$19*'Assumptions'!$H$61</x:f>
        <x:v>88677.06419956364</x:v>
      </x:c>
      <x:c r="H54" s="98" t="n">
        <x:f>'PnL_36M'!H$19*'Assumptions'!$H$61</x:f>
        <x:v>105520.93387003634</x:v>
      </x:c>
      <x:c r="I54" s="98" t="n">
        <x:f>'PnL_36M'!I$19*'Assumptions'!$H$61</x:f>
        <x:v>97040.44767861818</x:v>
      </x:c>
      <x:c r="J54" s="98" t="n">
        <x:f>'PnL_36M'!J$19*'Assumptions'!$H$61</x:f>
        <x:v>76136.61708087273</x:v>
      </x:c>
      <x:c r="K54" s="98" t="n">
        <x:f>'PnL_36M'!K$19*'Assumptions'!$H$61</x:f>
        <x:v>67696.59785697455</x:v>
      </x:c>
      <x:c r="L54" s="98" t="n">
        <x:f>'PnL_36M'!L$19*'Assumptions'!$H$61</x:f>
        <x:v>55563.6972850909</x:v>
      </x:c>
      <x:c r="M54" s="98" t="n">
        <x:f>'PnL_36M'!M$19*'Assumptions'!$H$61</x:f>
        <x:v>86709.61079317091</x:v>
      </x:c>
      <x:c r="N54" s="98" t="n">
        <x:f>'PnL_36M'!N$19*'Assumptions'!$H$61</x:f>
        <x:v>52612.64141864743</x:v>
      </x:c>
      <x:c r="O54" s="98" t="n">
        <x:f>'PnL_36M'!O$19*'Assumptions'!$H$61</x:f>
        <x:v>51640.85064609165</x:v>
      </x:c>
      <x:c r="P54" s="98" t="n">
        <x:f>'PnL_36M'!P$19*'Assumptions'!$H$61</x:f>
        <x:v>63620.63536192765</x:v>
      </x:c>
      <x:c r="Q54" s="98" t="n">
        <x:f>'PnL_36M'!Q$19*'Assumptions'!$H$61</x:f>
        <x:v>68589.65702700874</x:v>
      </x:c>
      <x:c r="R54" s="98" t="n">
        <x:f>'PnL_36M'!R$19*'Assumptions'!$H$61</x:f>
        <x:v>79793.50181060415</x:v>
      </x:c>
      <x:c r="S54" s="98" t="n">
        <x:f>'PnL_36M'!S$19*'Assumptions'!$H$61</x:f>
        <x:v>96350.23037249022</x:v>
      </x:c>
      <x:c r="T54" s="98" t="n">
        <x:f>'PnL_36M'!T$19*'Assumptions'!$H$61</x:f>
        <x:v>114381.43787054473</x:v>
      </x:c>
      <x:c r="U54" s="98" t="n">
        <x:f>'PnL_36M'!U$19*'Assumptions'!$H$61</x:f>
        <x:v>105360.80842759054</x:v>
      </x:c>
      <x:c r="V54" s="98" t="n">
        <x:f>'PnL_36M'!V$19*'Assumptions'!$H$61</x:f>
        <x:v>82962.23942346327</x:v>
      </x:c>
      <x:c r="W54" s="98" t="n">
        <x:f>'PnL_36M'!W$19*'Assumptions'!$H$61</x:f>
        <x:v>74044.09543664612</x:v>
      </x:c>
      <x:c r="X54" s="98" t="n">
        <x:f>'PnL_36M'!X$19*'Assumptions'!$H$61</x:f>
        <x:v>61064.03259462546</x:v>
      </x:c>
      <x:c r="Y54" s="98" t="n">
        <x:f>'PnL_36M'!Y$19*'Assumptions'!$H$61</x:f>
        <x:v>94440.12488380811</x:v>
      </x:c>
      <x:c r="Z54" s="98" t="n">
        <x:f>'PnL_36M'!Z$19*'Assumptions'!$H$61</x:f>
        <x:v>57493.945972825</x:v>
      </x:c>
      <x:c r="AA54" s="98" t="n">
        <x:f>'PnL_36M'!AA$19*'Assumptions'!$H$61</x:f>
        <x:v>56287.948539861005</x:v>
      </x:c>
      <x:c r="AB54" s="98" t="n">
        <x:f>'PnL_36M'!AB$19*'Assumptions'!$H$61</x:f>
        <x:v>69146.40249191257</x:v>
      </x:c>
      <x:c r="AC54" s="98" t="n">
        <x:f>'PnL_36M'!AC$19*'Assumptions'!$H$61</x:f>
        <x:v>74373.65859786821</x:v>
      </x:c>
      <x:c r="AD54" s="98" t="n">
        <x:f>'PnL_36M'!AD$19*'Assumptions'!$H$61</x:f>
        <x:v>86303.2389811217</x:v>
      </x:c>
      <x:c r="AE54" s="98" t="n">
        <x:f>'PnL_36M'!AE$19*'Assumptions'!$H$61</x:f>
        <x:v>103874.14707204748</x:v>
      </x:c>
      <x:c r="AF54" s="98" t="n">
        <x:f>'PnL_36M'!AF$19*'Assumptions'!$H$61</x:f>
        <x:v>123112.41095100071</x:v>
      </x:c>
      <x:c r="AG54" s="98" t="n">
        <x:f>'PnL_36M'!AG$19*'Assumptions'!$H$61</x:f>
        <x:v>113534.8298621916</x:v>
      </x:c>
      <x:c r="AH54" s="98" t="n">
        <x:f>'PnL_36M'!AH$19*'Assumptions'!$H$61</x:f>
        <x:v>89617.95359984486</x:v>
      </x:c>
      <x:c r="AI54" s="98" t="n">
        <x:f>'PnL_36M'!AI$19*'Assumptions'!$H$61</x:f>
        <x:v>80197.08281526796</x:v>
      </x:c>
      <x:c r="AJ54" s="98" t="n">
        <x:f>'PnL_36M'!AJ$19*'Assumptions'!$H$61</x:f>
        <x:v>66360.23342143839</x:v>
      </x:c>
      <x:c r="AK54" s="98" t="n">
        <x:f>'PnL_36M'!AK$19*'Assumptions'!$H$61</x:f>
        <x:v>102000.60901115376</x:v>
      </x:c>
      <x:c r="AL54" s="80"/>
      <x:c r="AM54" s="80"/>
      <x:c r="AN54" s="80"/>
      <x:c r="AO54" s="80"/>
      <x:c r="AP54" s="80"/>
      <x:c r="AQ54" s="80"/>
      <x:c r="AR54" s="80"/>
      <x:c r="AS54" s="80"/>
      <x:c r="AT54" s="80"/>
      <x:c r="AU54" s="80"/>
      <x:c r="AV54" s="80"/>
      <x:c r="AW54" s="80"/>
      <x:c r="AX54" s="80"/>
      <x:c r="AY54" s="80"/>
      <x:c r="AZ54" s="80"/>
    </x:row>
    <x:row r="55">
      <x:c r="A55" s="80" t="str">
        <x:v>Страхование имущества</x:v>
      </x:c>
      <x:c r="B55" s="98" t="n">
        <x:f>'Assumptions'!$H$62*(1+'Assumptions'!$B$8)^0</x:f>
        <x:v>30000</x:v>
      </x:c>
      <x:c r="C55" s="98" t="n">
        <x:f>'Assumptions'!$H$62*(1+'Assumptions'!$B$8)^0</x:f>
        <x:v>30000</x:v>
      </x:c>
      <x:c r="D55" s="98" t="n">
        <x:f>'Assumptions'!$H$62*(1+'Assumptions'!$B$8)^0</x:f>
        <x:v>30000</x:v>
      </x:c>
      <x:c r="E55" s="98" t="n">
        <x:f>'Assumptions'!$H$62*(1+'Assumptions'!$B$8)^0</x:f>
        <x:v>30000</x:v>
      </x:c>
      <x:c r="F55" s="98" t="n">
        <x:f>'Assumptions'!$H$62*(1+'Assumptions'!$B$8)^0</x:f>
        <x:v>30000</x:v>
      </x:c>
      <x:c r="G55" s="98" t="n">
        <x:f>'Assumptions'!$H$62*(1+'Assumptions'!$B$8)^0</x:f>
        <x:v>30000</x:v>
      </x:c>
      <x:c r="H55" s="98" t="n">
        <x:f>'Assumptions'!$H$62*(1+'Assumptions'!$B$8)^0</x:f>
        <x:v>30000</x:v>
      </x:c>
      <x:c r="I55" s="98" t="n">
        <x:f>'Assumptions'!$H$62*(1+'Assumptions'!$B$8)^0</x:f>
        <x:v>30000</x:v>
      </x:c>
      <x:c r="J55" s="98" t="n">
        <x:f>'Assumptions'!$H$62*(1+'Assumptions'!$B$8)^0</x:f>
        <x:v>30000</x:v>
      </x:c>
      <x:c r="K55" s="98" t="n">
        <x:f>'Assumptions'!$H$62*(1+'Assumptions'!$B$8)^0</x:f>
        <x:v>30000</x:v>
      </x:c>
      <x:c r="L55" s="98" t="n">
        <x:f>'Assumptions'!$H$62*(1+'Assumptions'!$B$8)^0</x:f>
        <x:v>30000</x:v>
      </x:c>
      <x:c r="M55" s="98" t="n">
        <x:f>'Assumptions'!$H$62*(1+'Assumptions'!$B$8)^0</x:f>
        <x:v>30000</x:v>
      </x:c>
      <x:c r="N55" s="98" t="n">
        <x:f>'Assumptions'!$H$62*(1+'Assumptions'!$B$8)^1</x:f>
        <x:v>31800</x:v>
      </x:c>
      <x:c r="O55" s="98" t="n">
        <x:f>'Assumptions'!$H$62*(1+'Assumptions'!$B$8)^1</x:f>
        <x:v>31800</x:v>
      </x:c>
      <x:c r="P55" s="98" t="n">
        <x:f>'Assumptions'!$H$62*(1+'Assumptions'!$B$8)^1</x:f>
        <x:v>31800</x:v>
      </x:c>
      <x:c r="Q55" s="98" t="n">
        <x:f>'Assumptions'!$H$62*(1+'Assumptions'!$B$8)^1</x:f>
        <x:v>31800</x:v>
      </x:c>
      <x:c r="R55" s="98" t="n">
        <x:f>'Assumptions'!$H$62*(1+'Assumptions'!$B$8)^1</x:f>
        <x:v>31800</x:v>
      </x:c>
      <x:c r="S55" s="98" t="n">
        <x:f>'Assumptions'!$H$62*(1+'Assumptions'!$B$8)^1</x:f>
        <x:v>31800</x:v>
      </x:c>
      <x:c r="T55" s="98" t="n">
        <x:f>'Assumptions'!$H$62*(1+'Assumptions'!$B$8)^1</x:f>
        <x:v>31800</x:v>
      </x:c>
      <x:c r="U55" s="98" t="n">
        <x:f>'Assumptions'!$H$62*(1+'Assumptions'!$B$8)^1</x:f>
        <x:v>31800</x:v>
      </x:c>
      <x:c r="V55" s="98" t="n">
        <x:f>'Assumptions'!$H$62*(1+'Assumptions'!$B$8)^1</x:f>
        <x:v>31800</x:v>
      </x:c>
      <x:c r="W55" s="98" t="n">
        <x:f>'Assumptions'!$H$62*(1+'Assumptions'!$B$8)^1</x:f>
        <x:v>31800</x:v>
      </x:c>
      <x:c r="X55" s="98" t="n">
        <x:f>'Assumptions'!$H$62*(1+'Assumptions'!$B$8)^1</x:f>
        <x:v>31800</x:v>
      </x:c>
      <x:c r="Y55" s="98" t="n">
        <x:f>'Assumptions'!$H$62*(1+'Assumptions'!$B$8)^1</x:f>
        <x:v>31800</x:v>
      </x:c>
      <x:c r="Z55" s="98" t="n">
        <x:f>'Assumptions'!$H$62*(1+'Assumptions'!$B$8)^2</x:f>
        <x:v>33708.00000000001</x:v>
      </x:c>
      <x:c r="AA55" s="98" t="n">
        <x:f>'Assumptions'!$H$62*(1+'Assumptions'!$B$8)^2</x:f>
        <x:v>33708.00000000001</x:v>
      </x:c>
      <x:c r="AB55" s="98" t="n">
        <x:f>'Assumptions'!$H$62*(1+'Assumptions'!$B$8)^2</x:f>
        <x:v>33708.00000000001</x:v>
      </x:c>
      <x:c r="AC55" s="98" t="n">
        <x:f>'Assumptions'!$H$62*(1+'Assumptions'!$B$8)^2</x:f>
        <x:v>33708.00000000001</x:v>
      </x:c>
      <x:c r="AD55" s="98" t="n">
        <x:f>'Assumptions'!$H$62*(1+'Assumptions'!$B$8)^2</x:f>
        <x:v>33708.00000000001</x:v>
      </x:c>
      <x:c r="AE55" s="98" t="n">
        <x:f>'Assumptions'!$H$62*(1+'Assumptions'!$B$8)^2</x:f>
        <x:v>33708.00000000001</x:v>
      </x:c>
      <x:c r="AF55" s="98" t="n">
        <x:f>'Assumptions'!$H$62*(1+'Assumptions'!$B$8)^2</x:f>
        <x:v>33708.00000000001</x:v>
      </x:c>
      <x:c r="AG55" s="98" t="n">
        <x:f>'Assumptions'!$H$62*(1+'Assumptions'!$B$8)^2</x:f>
        <x:v>33708.00000000001</x:v>
      </x:c>
      <x:c r="AH55" s="98" t="n">
        <x:f>'Assumptions'!$H$62*(1+'Assumptions'!$B$8)^2</x:f>
        <x:v>33708.00000000001</x:v>
      </x:c>
      <x:c r="AI55" s="98" t="n">
        <x:f>'Assumptions'!$H$62*(1+'Assumptions'!$B$8)^2</x:f>
        <x:v>33708.00000000001</x:v>
      </x:c>
      <x:c r="AJ55" s="98" t="n">
        <x:f>'Assumptions'!$H$62*(1+'Assumptions'!$B$8)^2</x:f>
        <x:v>33708.00000000001</x:v>
      </x:c>
      <x:c r="AK55" s="98" t="n">
        <x:f>'Assumptions'!$H$62*(1+'Assumptions'!$B$8)^2</x:f>
        <x:v>33708.00000000001</x:v>
      </x:c>
      <x:c r="AL55" s="80"/>
      <x:c r="AM55" s="80"/>
      <x:c r="AN55" s="80"/>
      <x:c r="AO55" s="80"/>
      <x:c r="AP55" s="80"/>
      <x:c r="AQ55" s="80"/>
      <x:c r="AR55" s="80"/>
      <x:c r="AS55" s="80"/>
      <x:c r="AT55" s="80"/>
      <x:c r="AU55" s="80"/>
      <x:c r="AV55" s="80"/>
      <x:c r="AW55" s="80"/>
      <x:c r="AX55" s="80"/>
      <x:c r="AY55" s="80"/>
      <x:c r="AZ55" s="80"/>
    </x:row>
    <x:row r="56">
      <x:c r="A56" s="80" t="str">
        <x:v>Бухгалтерия и юридические услуги</x:v>
      </x:c>
      <x:c r="B56" s="98" t="n">
        <x:f>'Assumptions'!$H$63*(1+'Assumptions'!$B$8)^0</x:f>
        <x:v>45000</x:v>
      </x:c>
      <x:c r="C56" s="98" t="n">
        <x:f>'Assumptions'!$H$63*(1+'Assumptions'!$B$8)^0</x:f>
        <x:v>45000</x:v>
      </x:c>
      <x:c r="D56" s="98" t="n">
        <x:f>'Assumptions'!$H$63*(1+'Assumptions'!$B$8)^0</x:f>
        <x:v>45000</x:v>
      </x:c>
      <x:c r="E56" s="98" t="n">
        <x:f>'Assumptions'!$H$63*(1+'Assumptions'!$B$8)^0</x:f>
        <x:v>45000</x:v>
      </x:c>
      <x:c r="F56" s="98" t="n">
        <x:f>'Assumptions'!$H$63*(1+'Assumptions'!$B$8)^0</x:f>
        <x:v>45000</x:v>
      </x:c>
      <x:c r="G56" s="98" t="n">
        <x:f>'Assumptions'!$H$63*(1+'Assumptions'!$B$8)^0</x:f>
        <x:v>45000</x:v>
      </x:c>
      <x:c r="H56" s="98" t="n">
        <x:f>'Assumptions'!$H$63*(1+'Assumptions'!$B$8)^0</x:f>
        <x:v>45000</x:v>
      </x:c>
      <x:c r="I56" s="98" t="n">
        <x:f>'Assumptions'!$H$63*(1+'Assumptions'!$B$8)^0</x:f>
        <x:v>45000</x:v>
      </x:c>
      <x:c r="J56" s="98" t="n">
        <x:f>'Assumptions'!$H$63*(1+'Assumptions'!$B$8)^0</x:f>
        <x:v>45000</x:v>
      </x:c>
      <x:c r="K56" s="98" t="n">
        <x:f>'Assumptions'!$H$63*(1+'Assumptions'!$B$8)^0</x:f>
        <x:v>45000</x:v>
      </x:c>
      <x:c r="L56" s="98" t="n">
        <x:f>'Assumptions'!$H$63*(1+'Assumptions'!$B$8)^0</x:f>
        <x:v>45000</x:v>
      </x:c>
      <x:c r="M56" s="98" t="n">
        <x:f>'Assumptions'!$H$63*(1+'Assumptions'!$B$8)^0</x:f>
        <x:v>45000</x:v>
      </x:c>
      <x:c r="N56" s="98" t="n">
        <x:f>'Assumptions'!$H$63*(1+'Assumptions'!$B$8)^1</x:f>
        <x:v>47700</x:v>
      </x:c>
      <x:c r="O56" s="98" t="n">
        <x:f>'Assumptions'!$H$63*(1+'Assumptions'!$B$8)^1</x:f>
        <x:v>47700</x:v>
      </x:c>
      <x:c r="P56" s="98" t="n">
        <x:f>'Assumptions'!$H$63*(1+'Assumptions'!$B$8)^1</x:f>
        <x:v>47700</x:v>
      </x:c>
      <x:c r="Q56" s="98" t="n">
        <x:f>'Assumptions'!$H$63*(1+'Assumptions'!$B$8)^1</x:f>
        <x:v>47700</x:v>
      </x:c>
      <x:c r="R56" s="98" t="n">
        <x:f>'Assumptions'!$H$63*(1+'Assumptions'!$B$8)^1</x:f>
        <x:v>47700</x:v>
      </x:c>
      <x:c r="S56" s="98" t="n">
        <x:f>'Assumptions'!$H$63*(1+'Assumptions'!$B$8)^1</x:f>
        <x:v>47700</x:v>
      </x:c>
      <x:c r="T56" s="98" t="n">
        <x:f>'Assumptions'!$H$63*(1+'Assumptions'!$B$8)^1</x:f>
        <x:v>47700</x:v>
      </x:c>
      <x:c r="U56" s="98" t="n">
        <x:f>'Assumptions'!$H$63*(1+'Assumptions'!$B$8)^1</x:f>
        <x:v>47700</x:v>
      </x:c>
      <x:c r="V56" s="98" t="n">
        <x:f>'Assumptions'!$H$63*(1+'Assumptions'!$B$8)^1</x:f>
        <x:v>47700</x:v>
      </x:c>
      <x:c r="W56" s="98" t="n">
        <x:f>'Assumptions'!$H$63*(1+'Assumptions'!$B$8)^1</x:f>
        <x:v>47700</x:v>
      </x:c>
      <x:c r="X56" s="98" t="n">
        <x:f>'Assumptions'!$H$63*(1+'Assumptions'!$B$8)^1</x:f>
        <x:v>47700</x:v>
      </x:c>
      <x:c r="Y56" s="98" t="n">
        <x:f>'Assumptions'!$H$63*(1+'Assumptions'!$B$8)^1</x:f>
        <x:v>47700</x:v>
      </x:c>
      <x:c r="Z56" s="98" t="n">
        <x:f>'Assumptions'!$H$63*(1+'Assumptions'!$B$8)^2</x:f>
        <x:v>50562.00000000001</x:v>
      </x:c>
      <x:c r="AA56" s="98" t="n">
        <x:f>'Assumptions'!$H$63*(1+'Assumptions'!$B$8)^2</x:f>
        <x:v>50562.00000000001</x:v>
      </x:c>
      <x:c r="AB56" s="98" t="n">
        <x:f>'Assumptions'!$H$63*(1+'Assumptions'!$B$8)^2</x:f>
        <x:v>50562.00000000001</x:v>
      </x:c>
      <x:c r="AC56" s="98" t="n">
        <x:f>'Assumptions'!$H$63*(1+'Assumptions'!$B$8)^2</x:f>
        <x:v>50562.00000000001</x:v>
      </x:c>
      <x:c r="AD56" s="98" t="n">
        <x:f>'Assumptions'!$H$63*(1+'Assumptions'!$B$8)^2</x:f>
        <x:v>50562.00000000001</x:v>
      </x:c>
      <x:c r="AE56" s="98" t="n">
        <x:f>'Assumptions'!$H$63*(1+'Assumptions'!$B$8)^2</x:f>
        <x:v>50562.00000000001</x:v>
      </x:c>
      <x:c r="AF56" s="98" t="n">
        <x:f>'Assumptions'!$H$63*(1+'Assumptions'!$B$8)^2</x:f>
        <x:v>50562.00000000001</x:v>
      </x:c>
      <x:c r="AG56" s="98" t="n">
        <x:f>'Assumptions'!$H$63*(1+'Assumptions'!$B$8)^2</x:f>
        <x:v>50562.00000000001</x:v>
      </x:c>
      <x:c r="AH56" s="98" t="n">
        <x:f>'Assumptions'!$H$63*(1+'Assumptions'!$B$8)^2</x:f>
        <x:v>50562.00000000001</x:v>
      </x:c>
      <x:c r="AI56" s="98" t="n">
        <x:f>'Assumptions'!$H$63*(1+'Assumptions'!$B$8)^2</x:f>
        <x:v>50562.00000000001</x:v>
      </x:c>
      <x:c r="AJ56" s="98" t="n">
        <x:f>'Assumptions'!$H$63*(1+'Assumptions'!$B$8)^2</x:f>
        <x:v>50562.00000000001</x:v>
      </x:c>
      <x:c r="AK56" s="98" t="n">
        <x:f>'Assumptions'!$H$63*(1+'Assumptions'!$B$8)^2</x:f>
        <x:v>50562.00000000001</x:v>
      </x:c>
      <x:c r="AL56" s="80"/>
      <x:c r="AM56" s="80"/>
      <x:c r="AN56" s="80"/>
      <x:c r="AO56" s="80"/>
      <x:c r="AP56" s="80"/>
      <x:c r="AQ56" s="80"/>
      <x:c r="AR56" s="80"/>
      <x:c r="AS56" s="80"/>
      <x:c r="AT56" s="80"/>
      <x:c r="AU56" s="80"/>
      <x:c r="AV56" s="80"/>
      <x:c r="AW56" s="80"/>
      <x:c r="AX56" s="80"/>
      <x:c r="AY56" s="80"/>
      <x:c r="AZ56" s="80"/>
    </x:row>
    <x:row r="57">
      <x:c r="A57" s="80" t="str">
        <x:v>Банк и онлайн-касса</x:v>
      </x:c>
      <x:c r="B57" s="98" t="n">
        <x:f>'Assumptions'!$H$64*(1+'Assumptions'!$B$8)^0</x:f>
        <x:v>15000</x:v>
      </x:c>
      <x:c r="C57" s="98" t="n">
        <x:f>'Assumptions'!$H$64*(1+'Assumptions'!$B$8)^0</x:f>
        <x:v>15000</x:v>
      </x:c>
      <x:c r="D57" s="98" t="n">
        <x:f>'Assumptions'!$H$64*(1+'Assumptions'!$B$8)^0</x:f>
        <x:v>15000</x:v>
      </x:c>
      <x:c r="E57" s="98" t="n">
        <x:f>'Assumptions'!$H$64*(1+'Assumptions'!$B$8)^0</x:f>
        <x:v>15000</x:v>
      </x:c>
      <x:c r="F57" s="98" t="n">
        <x:f>'Assumptions'!$H$64*(1+'Assumptions'!$B$8)^0</x:f>
        <x:v>15000</x:v>
      </x:c>
      <x:c r="G57" s="98" t="n">
        <x:f>'Assumptions'!$H$64*(1+'Assumptions'!$B$8)^0</x:f>
        <x:v>15000</x:v>
      </x:c>
      <x:c r="H57" s="98" t="n">
        <x:f>'Assumptions'!$H$64*(1+'Assumptions'!$B$8)^0</x:f>
        <x:v>15000</x:v>
      </x:c>
      <x:c r="I57" s="98" t="n">
        <x:f>'Assumptions'!$H$64*(1+'Assumptions'!$B$8)^0</x:f>
        <x:v>15000</x:v>
      </x:c>
      <x:c r="J57" s="98" t="n">
        <x:f>'Assumptions'!$H$64*(1+'Assumptions'!$B$8)^0</x:f>
        <x:v>15000</x:v>
      </x:c>
      <x:c r="K57" s="98" t="n">
        <x:f>'Assumptions'!$H$64*(1+'Assumptions'!$B$8)^0</x:f>
        <x:v>15000</x:v>
      </x:c>
      <x:c r="L57" s="98" t="n">
        <x:f>'Assumptions'!$H$64*(1+'Assumptions'!$B$8)^0</x:f>
        <x:v>15000</x:v>
      </x:c>
      <x:c r="M57" s="98" t="n">
        <x:f>'Assumptions'!$H$64*(1+'Assumptions'!$B$8)^0</x:f>
        <x:v>15000</x:v>
      </x:c>
      <x:c r="N57" s="98" t="n">
        <x:f>'Assumptions'!$H$64*(1+'Assumptions'!$B$8)^1</x:f>
        <x:v>15900</x:v>
      </x:c>
      <x:c r="O57" s="98" t="n">
        <x:f>'Assumptions'!$H$64*(1+'Assumptions'!$B$8)^1</x:f>
        <x:v>15900</x:v>
      </x:c>
      <x:c r="P57" s="98" t="n">
        <x:f>'Assumptions'!$H$64*(1+'Assumptions'!$B$8)^1</x:f>
        <x:v>15900</x:v>
      </x:c>
      <x:c r="Q57" s="98" t="n">
        <x:f>'Assumptions'!$H$64*(1+'Assumptions'!$B$8)^1</x:f>
        <x:v>15900</x:v>
      </x:c>
      <x:c r="R57" s="98" t="n">
        <x:f>'Assumptions'!$H$64*(1+'Assumptions'!$B$8)^1</x:f>
        <x:v>15900</x:v>
      </x:c>
      <x:c r="S57" s="98" t="n">
        <x:f>'Assumptions'!$H$64*(1+'Assumptions'!$B$8)^1</x:f>
        <x:v>15900</x:v>
      </x:c>
      <x:c r="T57" s="98" t="n">
        <x:f>'Assumptions'!$H$64*(1+'Assumptions'!$B$8)^1</x:f>
        <x:v>15900</x:v>
      </x:c>
      <x:c r="U57" s="98" t="n">
        <x:f>'Assumptions'!$H$64*(1+'Assumptions'!$B$8)^1</x:f>
        <x:v>15900</x:v>
      </x:c>
      <x:c r="V57" s="98" t="n">
        <x:f>'Assumptions'!$H$64*(1+'Assumptions'!$B$8)^1</x:f>
        <x:v>15900</x:v>
      </x:c>
      <x:c r="W57" s="98" t="n">
        <x:f>'Assumptions'!$H$64*(1+'Assumptions'!$B$8)^1</x:f>
        <x:v>15900</x:v>
      </x:c>
      <x:c r="X57" s="98" t="n">
        <x:f>'Assumptions'!$H$64*(1+'Assumptions'!$B$8)^1</x:f>
        <x:v>15900</x:v>
      </x:c>
      <x:c r="Y57" s="98" t="n">
        <x:f>'Assumptions'!$H$64*(1+'Assumptions'!$B$8)^1</x:f>
        <x:v>15900</x:v>
      </x:c>
      <x:c r="Z57" s="98" t="n">
        <x:f>'Assumptions'!$H$64*(1+'Assumptions'!$B$8)^2</x:f>
        <x:v>16854.000000000004</x:v>
      </x:c>
      <x:c r="AA57" s="98" t="n">
        <x:f>'Assumptions'!$H$64*(1+'Assumptions'!$B$8)^2</x:f>
        <x:v>16854.000000000004</x:v>
      </x:c>
      <x:c r="AB57" s="98" t="n">
        <x:f>'Assumptions'!$H$64*(1+'Assumptions'!$B$8)^2</x:f>
        <x:v>16854.000000000004</x:v>
      </x:c>
      <x:c r="AC57" s="98" t="n">
        <x:f>'Assumptions'!$H$64*(1+'Assumptions'!$B$8)^2</x:f>
        <x:v>16854.000000000004</x:v>
      </x:c>
      <x:c r="AD57" s="98" t="n">
        <x:f>'Assumptions'!$H$64*(1+'Assumptions'!$B$8)^2</x:f>
        <x:v>16854.000000000004</x:v>
      </x:c>
      <x:c r="AE57" s="98" t="n">
        <x:f>'Assumptions'!$H$64*(1+'Assumptions'!$B$8)^2</x:f>
        <x:v>16854.000000000004</x:v>
      </x:c>
      <x:c r="AF57" s="98" t="n">
        <x:f>'Assumptions'!$H$64*(1+'Assumptions'!$B$8)^2</x:f>
        <x:v>16854.000000000004</x:v>
      </x:c>
      <x:c r="AG57" s="98" t="n">
        <x:f>'Assumptions'!$H$64*(1+'Assumptions'!$B$8)^2</x:f>
        <x:v>16854.000000000004</x:v>
      </x:c>
      <x:c r="AH57" s="98" t="n">
        <x:f>'Assumptions'!$H$64*(1+'Assumptions'!$B$8)^2</x:f>
        <x:v>16854.000000000004</x:v>
      </x:c>
      <x:c r="AI57" s="98" t="n">
        <x:f>'Assumptions'!$H$64*(1+'Assumptions'!$B$8)^2</x:f>
        <x:v>16854.000000000004</x:v>
      </x:c>
      <x:c r="AJ57" s="98" t="n">
        <x:f>'Assumptions'!$H$64*(1+'Assumptions'!$B$8)^2</x:f>
        <x:v>16854.000000000004</x:v>
      </x:c>
      <x:c r="AK57" s="98" t="n">
        <x:f>'Assumptions'!$H$64*(1+'Assumptions'!$B$8)^2</x:f>
        <x:v>16854.000000000004</x:v>
      </x:c>
      <x:c r="AL57" s="80"/>
      <x:c r="AM57" s="80"/>
      <x:c r="AN57" s="80"/>
      <x:c r="AO57" s="80"/>
      <x:c r="AP57" s="80"/>
      <x:c r="AQ57" s="80"/>
      <x:c r="AR57" s="80"/>
      <x:c r="AS57" s="80"/>
      <x:c r="AT57" s="80"/>
      <x:c r="AU57" s="80"/>
      <x:c r="AV57" s="80"/>
      <x:c r="AW57" s="80"/>
      <x:c r="AX57" s="80"/>
      <x:c r="AY57" s="80"/>
      <x:c r="AZ57" s="80"/>
    </x:row>
    <x:row r="58">
      <x:c r="A58" s="80" t="str">
        <x:v>VPS, SMS и email</x:v>
      </x:c>
      <x:c r="B58" s="98" t="n">
        <x:f>'Assumptions'!$H$65*(1+'Assumptions'!$B$8)^0</x:f>
        <x:v>25000</x:v>
      </x:c>
      <x:c r="C58" s="98" t="n">
        <x:f>'Assumptions'!$H$65*(1+'Assumptions'!$B$8)^0</x:f>
        <x:v>25000</x:v>
      </x:c>
      <x:c r="D58" s="98" t="n">
        <x:f>'Assumptions'!$H$65*(1+'Assumptions'!$B$8)^0</x:f>
        <x:v>25000</x:v>
      </x:c>
      <x:c r="E58" s="98" t="n">
        <x:f>'Assumptions'!$H$65*(1+'Assumptions'!$B$8)^0</x:f>
        <x:v>25000</x:v>
      </x:c>
      <x:c r="F58" s="98" t="n">
        <x:f>'Assumptions'!$H$65*(1+'Assumptions'!$B$8)^0</x:f>
        <x:v>25000</x:v>
      </x:c>
      <x:c r="G58" s="98" t="n">
        <x:f>'Assumptions'!$H$65*(1+'Assumptions'!$B$8)^0</x:f>
        <x:v>25000</x:v>
      </x:c>
      <x:c r="H58" s="98" t="n">
        <x:f>'Assumptions'!$H$65*(1+'Assumptions'!$B$8)^0</x:f>
        <x:v>25000</x:v>
      </x:c>
      <x:c r="I58" s="98" t="n">
        <x:f>'Assumptions'!$H$65*(1+'Assumptions'!$B$8)^0</x:f>
        <x:v>25000</x:v>
      </x:c>
      <x:c r="J58" s="98" t="n">
        <x:f>'Assumptions'!$H$65*(1+'Assumptions'!$B$8)^0</x:f>
        <x:v>25000</x:v>
      </x:c>
      <x:c r="K58" s="98" t="n">
        <x:f>'Assumptions'!$H$65*(1+'Assumptions'!$B$8)^0</x:f>
        <x:v>25000</x:v>
      </x:c>
      <x:c r="L58" s="98" t="n">
        <x:f>'Assumptions'!$H$65*(1+'Assumptions'!$B$8)^0</x:f>
        <x:v>25000</x:v>
      </x:c>
      <x:c r="M58" s="98" t="n">
        <x:f>'Assumptions'!$H$65*(1+'Assumptions'!$B$8)^0</x:f>
        <x:v>25000</x:v>
      </x:c>
      <x:c r="N58" s="98" t="n">
        <x:f>'Assumptions'!$H$65*(1+'Assumptions'!$B$8)^1</x:f>
        <x:v>26500</x:v>
      </x:c>
      <x:c r="O58" s="98" t="n">
        <x:f>'Assumptions'!$H$65*(1+'Assumptions'!$B$8)^1</x:f>
        <x:v>26500</x:v>
      </x:c>
      <x:c r="P58" s="98" t="n">
        <x:f>'Assumptions'!$H$65*(1+'Assumptions'!$B$8)^1</x:f>
        <x:v>26500</x:v>
      </x:c>
      <x:c r="Q58" s="98" t="n">
        <x:f>'Assumptions'!$H$65*(1+'Assumptions'!$B$8)^1</x:f>
        <x:v>26500</x:v>
      </x:c>
      <x:c r="R58" s="98" t="n">
        <x:f>'Assumptions'!$H$65*(1+'Assumptions'!$B$8)^1</x:f>
        <x:v>26500</x:v>
      </x:c>
      <x:c r="S58" s="98" t="n">
        <x:f>'Assumptions'!$H$65*(1+'Assumptions'!$B$8)^1</x:f>
        <x:v>26500</x:v>
      </x:c>
      <x:c r="T58" s="98" t="n">
        <x:f>'Assumptions'!$H$65*(1+'Assumptions'!$B$8)^1</x:f>
        <x:v>26500</x:v>
      </x:c>
      <x:c r="U58" s="98" t="n">
        <x:f>'Assumptions'!$H$65*(1+'Assumptions'!$B$8)^1</x:f>
        <x:v>26500</x:v>
      </x:c>
      <x:c r="V58" s="98" t="n">
        <x:f>'Assumptions'!$H$65*(1+'Assumptions'!$B$8)^1</x:f>
        <x:v>26500</x:v>
      </x:c>
      <x:c r="W58" s="98" t="n">
        <x:f>'Assumptions'!$H$65*(1+'Assumptions'!$B$8)^1</x:f>
        <x:v>26500</x:v>
      </x:c>
      <x:c r="X58" s="98" t="n">
        <x:f>'Assumptions'!$H$65*(1+'Assumptions'!$B$8)^1</x:f>
        <x:v>26500</x:v>
      </x:c>
      <x:c r="Y58" s="98" t="n">
        <x:f>'Assumptions'!$H$65*(1+'Assumptions'!$B$8)^1</x:f>
        <x:v>26500</x:v>
      </x:c>
      <x:c r="Z58" s="98" t="n">
        <x:f>'Assumptions'!$H$65*(1+'Assumptions'!$B$8)^2</x:f>
        <x:v>28090.000000000004</x:v>
      </x:c>
      <x:c r="AA58" s="98" t="n">
        <x:f>'Assumptions'!$H$65*(1+'Assumptions'!$B$8)^2</x:f>
        <x:v>28090.000000000004</x:v>
      </x:c>
      <x:c r="AB58" s="98" t="n">
        <x:f>'Assumptions'!$H$65*(1+'Assumptions'!$B$8)^2</x:f>
        <x:v>28090.000000000004</x:v>
      </x:c>
      <x:c r="AC58" s="98" t="n">
        <x:f>'Assumptions'!$H$65*(1+'Assumptions'!$B$8)^2</x:f>
        <x:v>28090.000000000004</x:v>
      </x:c>
      <x:c r="AD58" s="98" t="n">
        <x:f>'Assumptions'!$H$65*(1+'Assumptions'!$B$8)^2</x:f>
        <x:v>28090.000000000004</x:v>
      </x:c>
      <x:c r="AE58" s="98" t="n">
        <x:f>'Assumptions'!$H$65*(1+'Assumptions'!$B$8)^2</x:f>
        <x:v>28090.000000000004</x:v>
      </x:c>
      <x:c r="AF58" s="98" t="n">
        <x:f>'Assumptions'!$H$65*(1+'Assumptions'!$B$8)^2</x:f>
        <x:v>28090.000000000004</x:v>
      </x:c>
      <x:c r="AG58" s="98" t="n">
        <x:f>'Assumptions'!$H$65*(1+'Assumptions'!$B$8)^2</x:f>
        <x:v>28090.000000000004</x:v>
      </x:c>
      <x:c r="AH58" s="98" t="n">
        <x:f>'Assumptions'!$H$65*(1+'Assumptions'!$B$8)^2</x:f>
        <x:v>28090.000000000004</x:v>
      </x:c>
      <x:c r="AI58" s="98" t="n">
        <x:f>'Assumptions'!$H$65*(1+'Assumptions'!$B$8)^2</x:f>
        <x:v>28090.000000000004</x:v>
      </x:c>
      <x:c r="AJ58" s="98" t="n">
        <x:f>'Assumptions'!$H$65*(1+'Assumptions'!$B$8)^2</x:f>
        <x:v>28090.000000000004</x:v>
      </x:c>
      <x:c r="AK58" s="98" t="n">
        <x:f>'Assumptions'!$H$65*(1+'Assumptions'!$B$8)^2</x:f>
        <x:v>28090.000000000004</x:v>
      </x:c>
      <x:c r="AL58" s="80"/>
      <x:c r="AM58" s="80"/>
      <x:c r="AN58" s="80"/>
      <x:c r="AO58" s="80"/>
      <x:c r="AP58" s="80"/>
      <x:c r="AQ58" s="80"/>
      <x:c r="AR58" s="80"/>
      <x:c r="AS58" s="80"/>
      <x:c r="AT58" s="80"/>
      <x:c r="AU58" s="80"/>
      <x:c r="AV58" s="80"/>
      <x:c r="AW58" s="80"/>
      <x:c r="AX58" s="80"/>
      <x:c r="AY58" s="80"/>
      <x:c r="AZ58" s="80"/>
    </x:row>
    <x:row r="59">
      <x:c r="A59" s="80" t="str">
        <x:v>PMS и операционное ПО</x:v>
      </x:c>
      <x:c r="B59" s="98" t="n">
        <x:f>'Assumptions'!$H$66*(1+'Assumptions'!$B$8)^0</x:f>
        <x:v>20000</x:v>
      </x:c>
      <x:c r="C59" s="98" t="n">
        <x:f>'Assumptions'!$H$66*(1+'Assumptions'!$B$8)^0</x:f>
        <x:v>20000</x:v>
      </x:c>
      <x:c r="D59" s="98" t="n">
        <x:f>'Assumptions'!$H$66*(1+'Assumptions'!$B$8)^0</x:f>
        <x:v>20000</x:v>
      </x:c>
      <x:c r="E59" s="98" t="n">
        <x:f>'Assumptions'!$H$66*(1+'Assumptions'!$B$8)^0</x:f>
        <x:v>20000</x:v>
      </x:c>
      <x:c r="F59" s="98" t="n">
        <x:f>'Assumptions'!$H$66*(1+'Assumptions'!$B$8)^0</x:f>
        <x:v>20000</x:v>
      </x:c>
      <x:c r="G59" s="98" t="n">
        <x:f>'Assumptions'!$H$66*(1+'Assumptions'!$B$8)^0</x:f>
        <x:v>20000</x:v>
      </x:c>
      <x:c r="H59" s="98" t="n">
        <x:f>'Assumptions'!$H$66*(1+'Assumptions'!$B$8)^0</x:f>
        <x:v>20000</x:v>
      </x:c>
      <x:c r="I59" s="98" t="n">
        <x:f>'Assumptions'!$H$66*(1+'Assumptions'!$B$8)^0</x:f>
        <x:v>20000</x:v>
      </x:c>
      <x:c r="J59" s="98" t="n">
        <x:f>'Assumptions'!$H$66*(1+'Assumptions'!$B$8)^0</x:f>
        <x:v>20000</x:v>
      </x:c>
      <x:c r="K59" s="98" t="n">
        <x:f>'Assumptions'!$H$66*(1+'Assumptions'!$B$8)^0</x:f>
        <x:v>20000</x:v>
      </x:c>
      <x:c r="L59" s="98" t="n">
        <x:f>'Assumptions'!$H$66*(1+'Assumptions'!$B$8)^0</x:f>
        <x:v>20000</x:v>
      </x:c>
      <x:c r="M59" s="98" t="n">
        <x:f>'Assumptions'!$H$66*(1+'Assumptions'!$B$8)^0</x:f>
        <x:v>20000</x:v>
      </x:c>
      <x:c r="N59" s="98" t="n">
        <x:f>'Assumptions'!$H$66*(1+'Assumptions'!$B$8)^1</x:f>
        <x:v>21200</x:v>
      </x:c>
      <x:c r="O59" s="98" t="n">
        <x:f>'Assumptions'!$H$66*(1+'Assumptions'!$B$8)^1</x:f>
        <x:v>21200</x:v>
      </x:c>
      <x:c r="P59" s="98" t="n">
        <x:f>'Assumptions'!$H$66*(1+'Assumptions'!$B$8)^1</x:f>
        <x:v>21200</x:v>
      </x:c>
      <x:c r="Q59" s="98" t="n">
        <x:f>'Assumptions'!$H$66*(1+'Assumptions'!$B$8)^1</x:f>
        <x:v>21200</x:v>
      </x:c>
      <x:c r="R59" s="98" t="n">
        <x:f>'Assumptions'!$H$66*(1+'Assumptions'!$B$8)^1</x:f>
        <x:v>21200</x:v>
      </x:c>
      <x:c r="S59" s="98" t="n">
        <x:f>'Assumptions'!$H$66*(1+'Assumptions'!$B$8)^1</x:f>
        <x:v>21200</x:v>
      </x:c>
      <x:c r="T59" s="98" t="n">
        <x:f>'Assumptions'!$H$66*(1+'Assumptions'!$B$8)^1</x:f>
        <x:v>21200</x:v>
      </x:c>
      <x:c r="U59" s="98" t="n">
        <x:f>'Assumptions'!$H$66*(1+'Assumptions'!$B$8)^1</x:f>
        <x:v>21200</x:v>
      </x:c>
      <x:c r="V59" s="98" t="n">
        <x:f>'Assumptions'!$H$66*(1+'Assumptions'!$B$8)^1</x:f>
        <x:v>21200</x:v>
      </x:c>
      <x:c r="W59" s="98" t="n">
        <x:f>'Assumptions'!$H$66*(1+'Assumptions'!$B$8)^1</x:f>
        <x:v>21200</x:v>
      </x:c>
      <x:c r="X59" s="98" t="n">
        <x:f>'Assumptions'!$H$66*(1+'Assumptions'!$B$8)^1</x:f>
        <x:v>21200</x:v>
      </x:c>
      <x:c r="Y59" s="98" t="n">
        <x:f>'Assumptions'!$H$66*(1+'Assumptions'!$B$8)^1</x:f>
        <x:v>21200</x:v>
      </x:c>
      <x:c r="Z59" s="98" t="n">
        <x:f>'Assumptions'!$H$66*(1+'Assumptions'!$B$8)^2</x:f>
        <x:v>22472.000000000004</x:v>
      </x:c>
      <x:c r="AA59" s="98" t="n">
        <x:f>'Assumptions'!$H$66*(1+'Assumptions'!$B$8)^2</x:f>
        <x:v>22472.000000000004</x:v>
      </x:c>
      <x:c r="AB59" s="98" t="n">
        <x:f>'Assumptions'!$H$66*(1+'Assumptions'!$B$8)^2</x:f>
        <x:v>22472.000000000004</x:v>
      </x:c>
      <x:c r="AC59" s="98" t="n">
        <x:f>'Assumptions'!$H$66*(1+'Assumptions'!$B$8)^2</x:f>
        <x:v>22472.000000000004</x:v>
      </x:c>
      <x:c r="AD59" s="98" t="n">
        <x:f>'Assumptions'!$H$66*(1+'Assumptions'!$B$8)^2</x:f>
        <x:v>22472.000000000004</x:v>
      </x:c>
      <x:c r="AE59" s="98" t="n">
        <x:f>'Assumptions'!$H$66*(1+'Assumptions'!$B$8)^2</x:f>
        <x:v>22472.000000000004</x:v>
      </x:c>
      <x:c r="AF59" s="98" t="n">
        <x:f>'Assumptions'!$H$66*(1+'Assumptions'!$B$8)^2</x:f>
        <x:v>22472.000000000004</x:v>
      </x:c>
      <x:c r="AG59" s="98" t="n">
        <x:f>'Assumptions'!$H$66*(1+'Assumptions'!$B$8)^2</x:f>
        <x:v>22472.000000000004</x:v>
      </x:c>
      <x:c r="AH59" s="98" t="n">
        <x:f>'Assumptions'!$H$66*(1+'Assumptions'!$B$8)^2</x:f>
        <x:v>22472.000000000004</x:v>
      </x:c>
      <x:c r="AI59" s="98" t="n">
        <x:f>'Assumptions'!$H$66*(1+'Assumptions'!$B$8)^2</x:f>
        <x:v>22472.000000000004</x:v>
      </x:c>
      <x:c r="AJ59" s="98" t="n">
        <x:f>'Assumptions'!$H$66*(1+'Assumptions'!$B$8)^2</x:f>
        <x:v>22472.000000000004</x:v>
      </x:c>
      <x:c r="AK59" s="98" t="n">
        <x:f>'Assumptions'!$H$66*(1+'Assumptions'!$B$8)^2</x:f>
        <x:v>22472.000000000004</x:v>
      </x:c>
      <x:c r="AL59" s="80"/>
      <x:c r="AM59" s="80"/>
      <x:c r="AN59" s="80"/>
      <x:c r="AO59" s="80"/>
      <x:c r="AP59" s="80"/>
      <x:c r="AQ59" s="80"/>
      <x:c r="AR59" s="80"/>
      <x:c r="AS59" s="80"/>
      <x:c r="AT59" s="80"/>
      <x:c r="AU59" s="80"/>
      <x:c r="AV59" s="80"/>
      <x:c r="AW59" s="80"/>
      <x:c r="AX59" s="80"/>
      <x:c r="AY59" s="80"/>
      <x:c r="AZ59" s="80"/>
    </x:row>
    <x:row r="60">
      <x:c r="A60" s="80" t="str">
        <x:v>Офис и транспорт</x:v>
      </x:c>
      <x:c r="B60" s="98" t="n">
        <x:f>'Assumptions'!$H$67*(1+'Assumptions'!$B$8)^0</x:f>
        <x:v>25000</x:v>
      </x:c>
      <x:c r="C60" s="98" t="n">
        <x:f>'Assumptions'!$H$67*(1+'Assumptions'!$B$8)^0</x:f>
        <x:v>25000</x:v>
      </x:c>
      <x:c r="D60" s="98" t="n">
        <x:f>'Assumptions'!$H$67*(1+'Assumptions'!$B$8)^0</x:f>
        <x:v>25000</x:v>
      </x:c>
      <x:c r="E60" s="98" t="n">
        <x:f>'Assumptions'!$H$67*(1+'Assumptions'!$B$8)^0</x:f>
        <x:v>25000</x:v>
      </x:c>
      <x:c r="F60" s="98" t="n">
        <x:f>'Assumptions'!$H$67*(1+'Assumptions'!$B$8)^0</x:f>
        <x:v>25000</x:v>
      </x:c>
      <x:c r="G60" s="98" t="n">
        <x:f>'Assumptions'!$H$67*(1+'Assumptions'!$B$8)^0</x:f>
        <x:v>25000</x:v>
      </x:c>
      <x:c r="H60" s="98" t="n">
        <x:f>'Assumptions'!$H$67*(1+'Assumptions'!$B$8)^0</x:f>
        <x:v>25000</x:v>
      </x:c>
      <x:c r="I60" s="98" t="n">
        <x:f>'Assumptions'!$H$67*(1+'Assumptions'!$B$8)^0</x:f>
        <x:v>25000</x:v>
      </x:c>
      <x:c r="J60" s="98" t="n">
        <x:f>'Assumptions'!$H$67*(1+'Assumptions'!$B$8)^0</x:f>
        <x:v>25000</x:v>
      </x:c>
      <x:c r="K60" s="98" t="n">
        <x:f>'Assumptions'!$H$67*(1+'Assumptions'!$B$8)^0</x:f>
        <x:v>25000</x:v>
      </x:c>
      <x:c r="L60" s="98" t="n">
        <x:f>'Assumptions'!$H$67*(1+'Assumptions'!$B$8)^0</x:f>
        <x:v>25000</x:v>
      </x:c>
      <x:c r="M60" s="98" t="n">
        <x:f>'Assumptions'!$H$67*(1+'Assumptions'!$B$8)^0</x:f>
        <x:v>25000</x:v>
      </x:c>
      <x:c r="N60" s="98" t="n">
        <x:f>'Assumptions'!$H$67*(1+'Assumptions'!$B$8)^1</x:f>
        <x:v>26500</x:v>
      </x:c>
      <x:c r="O60" s="98" t="n">
        <x:f>'Assumptions'!$H$67*(1+'Assumptions'!$B$8)^1</x:f>
        <x:v>26500</x:v>
      </x:c>
      <x:c r="P60" s="98" t="n">
        <x:f>'Assumptions'!$H$67*(1+'Assumptions'!$B$8)^1</x:f>
        <x:v>26500</x:v>
      </x:c>
      <x:c r="Q60" s="98" t="n">
        <x:f>'Assumptions'!$H$67*(1+'Assumptions'!$B$8)^1</x:f>
        <x:v>26500</x:v>
      </x:c>
      <x:c r="R60" s="98" t="n">
        <x:f>'Assumptions'!$H$67*(1+'Assumptions'!$B$8)^1</x:f>
        <x:v>26500</x:v>
      </x:c>
      <x:c r="S60" s="98" t="n">
        <x:f>'Assumptions'!$H$67*(1+'Assumptions'!$B$8)^1</x:f>
        <x:v>26500</x:v>
      </x:c>
      <x:c r="T60" s="98" t="n">
        <x:f>'Assumptions'!$H$67*(1+'Assumptions'!$B$8)^1</x:f>
        <x:v>26500</x:v>
      </x:c>
      <x:c r="U60" s="98" t="n">
        <x:f>'Assumptions'!$H$67*(1+'Assumptions'!$B$8)^1</x:f>
        <x:v>26500</x:v>
      </x:c>
      <x:c r="V60" s="98" t="n">
        <x:f>'Assumptions'!$H$67*(1+'Assumptions'!$B$8)^1</x:f>
        <x:v>26500</x:v>
      </x:c>
      <x:c r="W60" s="98" t="n">
        <x:f>'Assumptions'!$H$67*(1+'Assumptions'!$B$8)^1</x:f>
        <x:v>26500</x:v>
      </x:c>
      <x:c r="X60" s="98" t="n">
        <x:f>'Assumptions'!$H$67*(1+'Assumptions'!$B$8)^1</x:f>
        <x:v>26500</x:v>
      </x:c>
      <x:c r="Y60" s="98" t="n">
        <x:f>'Assumptions'!$H$67*(1+'Assumptions'!$B$8)^1</x:f>
        <x:v>26500</x:v>
      </x:c>
      <x:c r="Z60" s="98" t="n">
        <x:f>'Assumptions'!$H$67*(1+'Assumptions'!$B$8)^2</x:f>
        <x:v>28090.000000000004</x:v>
      </x:c>
      <x:c r="AA60" s="98" t="n">
        <x:f>'Assumptions'!$H$67*(1+'Assumptions'!$B$8)^2</x:f>
        <x:v>28090.000000000004</x:v>
      </x:c>
      <x:c r="AB60" s="98" t="n">
        <x:f>'Assumptions'!$H$67*(1+'Assumptions'!$B$8)^2</x:f>
        <x:v>28090.000000000004</x:v>
      </x:c>
      <x:c r="AC60" s="98" t="n">
        <x:f>'Assumptions'!$H$67*(1+'Assumptions'!$B$8)^2</x:f>
        <x:v>28090.000000000004</x:v>
      </x:c>
      <x:c r="AD60" s="98" t="n">
        <x:f>'Assumptions'!$H$67*(1+'Assumptions'!$B$8)^2</x:f>
        <x:v>28090.000000000004</x:v>
      </x:c>
      <x:c r="AE60" s="98" t="n">
        <x:f>'Assumptions'!$H$67*(1+'Assumptions'!$B$8)^2</x:f>
        <x:v>28090.000000000004</x:v>
      </x:c>
      <x:c r="AF60" s="98" t="n">
        <x:f>'Assumptions'!$H$67*(1+'Assumptions'!$B$8)^2</x:f>
        <x:v>28090.000000000004</x:v>
      </x:c>
      <x:c r="AG60" s="98" t="n">
        <x:f>'Assumptions'!$H$67*(1+'Assumptions'!$B$8)^2</x:f>
        <x:v>28090.000000000004</x:v>
      </x:c>
      <x:c r="AH60" s="98" t="n">
        <x:f>'Assumptions'!$H$67*(1+'Assumptions'!$B$8)^2</x:f>
        <x:v>28090.000000000004</x:v>
      </x:c>
      <x:c r="AI60" s="98" t="n">
        <x:f>'Assumptions'!$H$67*(1+'Assumptions'!$B$8)^2</x:f>
        <x:v>28090.000000000004</x:v>
      </x:c>
      <x:c r="AJ60" s="98" t="n">
        <x:f>'Assumptions'!$H$67*(1+'Assumptions'!$B$8)^2</x:f>
        <x:v>28090.000000000004</x:v>
      </x:c>
      <x:c r="AK60" s="98" t="n">
        <x:f>'Assumptions'!$H$67*(1+'Assumptions'!$B$8)^2</x:f>
        <x:v>28090.000000000004</x:v>
      </x:c>
      <x:c r="AL60" s="80"/>
      <x:c r="AM60" s="80"/>
      <x:c r="AN60" s="80"/>
      <x:c r="AO60" s="80"/>
      <x:c r="AP60" s="80"/>
      <x:c r="AQ60" s="80"/>
      <x:c r="AR60" s="80"/>
      <x:c r="AS60" s="80"/>
      <x:c r="AT60" s="80"/>
      <x:c r="AU60" s="80"/>
      <x:c r="AV60" s="80"/>
      <x:c r="AW60" s="80"/>
      <x:c r="AX60" s="80"/>
      <x:c r="AY60" s="80"/>
      <x:c r="AZ60" s="80"/>
    </x:row>
    <x:row r="61">
      <x:c r="A61" s="99" t="str">
        <x:v>TOTAL OTHER FIXED</x:v>
      </x:c>
      <x:c r="B61" s="100" t="n">
        <x:f>SUM(B51:B60)</x:f>
        <x:v>325263.51057448727</x:v>
      </x:c>
      <x:c r="C61" s="100" t="n">
        <x:f>SUM(C51:C60)</x:f>
        <x:v>330346.1243133091</x:v>
      </x:c>
      <x:c r="D61" s="100" t="n">
        <x:f>SUM(D51:D60)</x:f>
        <x:v>342104.6695731564</x:v>
      </x:c>
      <x:c r="E61" s="100" t="n">
        <x:f>SUM(E51:E60)</x:f>
        <x:v>350432.52514392725</x:v>
      </x:c>
      <x:c r="F61" s="100" t="n">
        <x:f>SUM(F51:F60)</x:f>
        <x:v>364273.17293929454</x:v>
      </x:c>
      <x:c r="G61" s="100" t="n">
        <x:f>SUM(G51:G60)</x:f>
        <x:v>383677.06419956364</x:v>
      </x:c>
      <x:c r="H61" s="100" t="n">
        <x:f>SUM(H51:H60)</x:f>
        <x:v>400520.93387003633</x:v>
      </x:c>
      <x:c r="I61" s="100" t="n">
        <x:f>SUM(I51:I60)</x:f>
        <x:v>392040.4476786182</x:v>
      </x:c>
      <x:c r="J61" s="100" t="n">
        <x:f>SUM(J51:J60)</x:f>
        <x:v>371136.61708087276</x:v>
      </x:c>
      <x:c r="K61" s="100" t="n">
        <x:f>SUM(K51:K60)</x:f>
        <x:v>362696.5978569746</x:v>
      </x:c>
      <x:c r="L61" s="100" t="n">
        <x:f>SUM(L51:L60)</x:f>
        <x:v>350563.6972850909</x:v>
      </x:c>
      <x:c r="M61" s="100" t="n">
        <x:f>SUM(M51:M60)</x:f>
        <x:v>381709.6107931709</x:v>
      </x:c>
      <x:c r="N61" s="100" t="n">
        <x:f>SUM(N51:N60)</x:f>
        <x:v>365312.6414186474</x:v>
      </x:c>
      <x:c r="O61" s="100" t="n">
        <x:f>SUM(O51:O60)</x:f>
        <x:v>364340.8506460916</x:v>
      </x:c>
      <x:c r="P61" s="100" t="n">
        <x:f>SUM(P51:P60)</x:f>
        <x:v>376320.6353619277</x:v>
      </x:c>
      <x:c r="Q61" s="100" t="n">
        <x:f>SUM(Q51:Q60)</x:f>
        <x:v>381289.6570270087</x:v>
      </x:c>
      <x:c r="R61" s="100" t="n">
        <x:f>SUM(R51:R60)</x:f>
        <x:v>392493.5018106041</x:v>
      </x:c>
      <x:c r="S61" s="100" t="n">
        <x:f>SUM(S51:S60)</x:f>
        <x:v>409050.23037249024</x:v>
      </x:c>
      <x:c r="T61" s="100" t="n">
        <x:f>SUM(T51:T60)</x:f>
        <x:v>427081.43787054473</x:v>
      </x:c>
      <x:c r="U61" s="100" t="n">
        <x:f>SUM(U51:U60)</x:f>
        <x:v>418060.8084275905</x:v>
      </x:c>
      <x:c r="V61" s="100" t="n">
        <x:f>SUM(V51:V60)</x:f>
        <x:v>395662.23942346324</x:v>
      </x:c>
      <x:c r="W61" s="100" t="n">
        <x:f>SUM(W51:W60)</x:f>
        <x:v>386744.09543664614</x:v>
      </x:c>
      <x:c r="X61" s="100" t="n">
        <x:f>SUM(X51:X60)</x:f>
        <x:v>373764.0325946255</x:v>
      </x:c>
      <x:c r="Y61" s="100" t="n">
        <x:f>SUM(Y51:Y60)</x:f>
        <x:v>407140.1248838081</x:v>
      </x:c>
      <x:c r="Z61" s="100" t="n">
        <x:f>SUM(Z51:Z60)</x:f>
        <x:v>388955.94597282505</x:v>
      </x:c>
      <x:c r="AA61" s="100" t="n">
        <x:f>SUM(AA51:AA60)</x:f>
        <x:v>387749.94853986107</x:v>
      </x:c>
      <x:c r="AB61" s="100" t="n">
        <x:f>SUM(AB51:AB60)</x:f>
        <x:v>400608.4024919126</x:v>
      </x:c>
      <x:c r="AC61" s="100" t="n">
        <x:f>SUM(AC51:AC60)</x:f>
        <x:v>405835.6585978682</x:v>
      </x:c>
      <x:c r="AD61" s="100" t="n">
        <x:f>SUM(AD51:AD60)</x:f>
        <x:v>417765.23898112174</x:v>
      </x:c>
      <x:c r="AE61" s="100" t="n">
        <x:f>SUM(AE51:AE60)</x:f>
        <x:v>435336.1470720475</x:v>
      </x:c>
      <x:c r="AF61" s="100" t="n">
        <x:f>SUM(AF51:AF60)</x:f>
        <x:v>454574.41095100075</x:v>
      </x:c>
      <x:c r="AG61" s="100" t="n">
        <x:f>SUM(AG51:AG60)</x:f>
        <x:v>444996.82986219163</x:v>
      </x:c>
      <x:c r="AH61" s="100" t="n">
        <x:f>SUM(AH51:AH60)</x:f>
        <x:v>421079.9535998449</x:v>
      </x:c>
      <x:c r="AI61" s="100" t="n">
        <x:f>SUM(AI51:AI60)</x:f>
        <x:v>411659.082815268</x:v>
      </x:c>
      <x:c r="AJ61" s="100" t="n">
        <x:f>SUM(AJ51:AJ60)</x:f>
        <x:v>397822.23342143843</x:v>
      </x:c>
      <x:c r="AK61" s="100" t="n">
        <x:f>SUM(AK51:AK60)</x:f>
        <x:v>433462.6090111538</x:v>
      </x:c>
      <x:c r="AL61" s="80"/>
      <x:c r="AM61" s="80"/>
      <x:c r="AN61" s="80"/>
      <x:c r="AO61" s="80"/>
      <x:c r="AP61" s="80"/>
      <x:c r="AQ61" s="80"/>
      <x:c r="AR61" s="80"/>
      <x:c r="AS61" s="80"/>
      <x:c r="AT61" s="80"/>
      <x:c r="AU61" s="80"/>
      <x:c r="AV61" s="80"/>
      <x:c r="AW61" s="80"/>
      <x:c r="AX61" s="80"/>
      <x:c r="AY61" s="80"/>
      <x:c r="AZ61" s="80"/>
    </x:row>
    <x:row r="62">
      <x:c r="A62" s="80"/>
      <x:c r="B62" s="98"/>
      <x:c r="C62" s="98"/>
      <x:c r="D62" s="98"/>
      <x:c r="E62" s="98"/>
      <x:c r="F62" s="98"/>
      <x:c r="G62" s="98"/>
      <x:c r="H62" s="98"/>
      <x:c r="I62" s="98"/>
      <x:c r="J62" s="98"/>
      <x:c r="K62" s="98"/>
      <x:c r="L62" s="98"/>
      <x:c r="M62" s="98"/>
      <x:c r="N62" s="98"/>
      <x:c r="O62" s="98"/>
      <x:c r="P62" s="98"/>
      <x:c r="Q62" s="98"/>
      <x:c r="R62" s="98"/>
      <x:c r="S62" s="98"/>
      <x:c r="T62" s="98"/>
      <x:c r="U62" s="98"/>
      <x:c r="V62" s="98"/>
      <x:c r="W62" s="98"/>
      <x:c r="X62" s="98"/>
      <x:c r="Y62" s="98"/>
      <x:c r="Z62" s="98"/>
      <x:c r="AA62" s="98"/>
      <x:c r="AB62" s="98"/>
      <x:c r="AC62" s="98"/>
      <x:c r="AD62" s="98"/>
      <x:c r="AE62" s="98"/>
      <x:c r="AF62" s="98"/>
      <x:c r="AG62" s="98"/>
      <x:c r="AH62" s="98"/>
      <x:c r="AI62" s="98"/>
      <x:c r="AJ62" s="98"/>
      <x:c r="AK62" s="98"/>
      <x:c r="AL62" s="80"/>
      <x:c r="AM62" s="80"/>
      <x:c r="AN62" s="80"/>
      <x:c r="AO62" s="80"/>
      <x:c r="AP62" s="80"/>
      <x:c r="AQ62" s="80"/>
      <x:c r="AR62" s="80"/>
      <x:c r="AS62" s="80"/>
      <x:c r="AT62" s="80"/>
      <x:c r="AU62" s="80"/>
      <x:c r="AV62" s="80"/>
      <x:c r="AW62" s="80"/>
      <x:c r="AX62" s="80"/>
      <x:c r="AY62" s="80"/>
      <x:c r="AZ62" s="80"/>
    </x:row>
    <x:row r="63">
      <x:c r="A63" s="99" t="str">
        <x:v>TOTAL OPERATING OPEX</x:v>
      </x:c>
      <x:c r="B63" s="100" t="n">
        <x:f>B31+B39+B48+B61</x:f>
        <x:v>2159313.411881553</x:v>
      </x:c>
      <x:c r="C63" s="100" t="n">
        <x:f>C31+C39+C48+C61</x:f>
        <x:v>2242303.236517108</x:v>
      </x:c>
      <x:c r="D63" s="100" t="n">
        <x:f>D31+D39+D48+D61</x:f>
        <x:v>2443004.777168329</x:v>
      </x:c>
      <x:c r="E63" s="100" t="n">
        <x:f>E31+E39+E48+E61</x:f>
        <x:v>2546685.291627709</x:v>
      </x:c>
      <x:c r="F63" s="100" t="n">
        <x:f>F31+F39+F48+F61</x:f>
        <x:v>2728128.5049773008</x:v>
      </x:c>
      <x:c r="G63" s="100" t="n">
        <x:f>G31+G39+G48+G61</x:f>
        <x:v>2964506.771868387</x:v>
      </x:c>
      <x:c r="H63" s="100" t="n">
        <x:f>H31+H39+H48+H61</x:f>
        <x:v>3183524.608429827</x:v>
      </x:c>
      <x:c r="I63" s="100" t="n">
        <x:f>I31+I39+I48+I61</x:f>
        <x:v>3075571.4541647816</x:v>
      </x:c>
      <x:c r="J63" s="100" t="n">
        <x:f>J31+J39+J48+J61</x:f>
        <x:v>2826150.6559634735</x:v>
      </x:c>
      <x:c r="K63" s="100" t="n">
        <x:f>K31+K39+K48+K61</x:f>
        <x:v>2759730.9502056777</x:v>
      </x:c>
      <x:c r="L63" s="100" t="n">
        <x:f>L31+L39+L48+L61</x:f>
        <x:v>2607688.8353924146</x:v>
      </x:c>
      <x:c r="M63" s="100" t="n">
        <x:f>M31+M39+M48+M61</x:f>
        <x:v>3090872.154382411</x:v>
      </x:c>
      <x:c r="N63" s="100" t="n">
        <x:f>N31+N39+N48+N61</x:f>
        <x:v>2692019.026070048</x:v>
      </x:c>
      <x:c r="O63" s="100" t="n">
        <x:f>O31+O39+O48+O61</x:f>
        <x:v>2647428.272078101</x:v>
      </x:c>
      <x:c r="P63" s="100" t="n">
        <x:f>P31+P39+P48+P61</x:f>
        <x:v>2843607.2240745607</x:v>
      </x:c>
      <x:c r="Q63" s="100" t="n">
        <x:f>Q31+Q39+Q48+Q61</x:f>
        <x:v>2871916.8790917424</x:v>
      </x:c>
      <x:c r="R63" s="100" t="n">
        <x:f>R31+R39+R48+R61</x:f>
        <x:v>2995218.002454689</x:v>
      </x:c>
      <x:c r="S63" s="100" t="n">
        <x:f>S31+S39+S48+S61</x:f>
        <x:v>3174412.672311557</x:v>
      </x:c>
      <x:c r="T63" s="100" t="n">
        <x:f>T31+T39+T48+T61</x:f>
        <x:v>3406902.09376048</x:v>
      </x:c>
      <x:c r="U63" s="100" t="n">
        <x:f>U31+U39+U48+U61</x:f>
        <x:v>3293200.636392619</x:v>
      </x:c>
      <x:c r="V63" s="100" t="n">
        <x:f>V31+V39+V48+V61</x:f>
        <x:v>3029334.709209354</x:v>
      </x:c>
      <x:c r="W63" s="100" t="n">
        <x:f>W31+W39+W48+W61</x:f>
        <x:v>2963121.707788658</x:v>
      </x:c>
      <x:c r="X63" s="100" t="n">
        <x:f>X31+X39+X48+X61</x:f>
        <x:v>2803709.7978936406</x:v>
      </x:c>
      <x:c r="Y63" s="100" t="n">
        <x:f>Y31+Y39+Y48+Y61</x:f>
        <x:v>3317805.060414025</x:v>
      </x:c>
      <x:c r="Z63" s="100" t="n">
        <x:f>Z31+Z39+Z48+Z61</x:f>
        <x:v>2886964.38008074</x:v>
      </x:c>
      <x:c r="AA63" s="100" t="n">
        <x:f>AA31+AA39+AA48+AA61</x:f>
        <x:v>2835435.5153926</x:v>
      </x:c>
      <x:c r="AB63" s="100" t="n">
        <x:f>AB31+AB39+AB48+AB61</x:f>
        <x:v>3044583.06515512</x:v>
      </x:c>
      <x:c r="AC63" s="100" t="n">
        <x:f>AC31+AC39+AC48+AC61</x:f>
        <x:v>3071410.473532709</x:v>
      </x:c>
      <x:c r="AD63" s="100" t="n">
        <x:f>AD31+AD39+AD48+AD61</x:f>
        <x:v>3200021.083992332</x:v>
      </x:c>
      <x:c r="AE63" s="100" t="n">
        <x:f>AE31+AE39+AE48+AE61</x:f>
        <x:v>3386951.1201776452</x:v>
      </x:c>
      <x:c r="AF63" s="100" t="n">
        <x:f>AF31+AF39+AF48+AF61</x:f>
        <x:v>3633171.91696279</x:v>
      </x:c>
      <x:c r="AG63" s="100" t="n">
        <x:f>AG31+AG39+AG48+AG61</x:f>
        <x:v>3513485.480518139</x:v>
      </x:c>
      <x:c r="AH63" s="100" t="n">
        <x:f>AH31+AH39+AH48+AH61</x:f>
        <x:v>3234825.834005697</x:v>
      </x:c>
      <x:c r="AI63" s="100" t="n">
        <x:f>AI31+AI39+AI48+AI61</x:f>
        <x:v>3168364.1421166593</x:v>
      </x:c>
      <x:c r="AJ63" s="100" t="n">
        <x:f>AJ31+AJ39+AJ48+AJ61</x:f>
        <x:v>3001340.308415122</x:v>
      </x:c>
      <x:c r="AK63" s="100" t="n">
        <x:f>AK31+AK39+AK48+AK61</x:f>
        <x:v>3547005.7475005537</x:v>
      </x:c>
      <x:c r="AL63" s="80"/>
      <x:c r="AM63" s="80"/>
      <x:c r="AN63" s="80"/>
      <x:c r="AO63" s="80"/>
      <x:c r="AP63" s="80"/>
      <x:c r="AQ63" s="80"/>
      <x:c r="AR63" s="80"/>
      <x:c r="AS63" s="80"/>
      <x:c r="AT63" s="80"/>
      <x:c r="AU63" s="80"/>
      <x:c r="AV63" s="80"/>
      <x:c r="AW63" s="80"/>
      <x:c r="AX63" s="80"/>
      <x:c r="AY63" s="80"/>
      <x:c r="AZ63" s="80"/>
    </x:row>
  </x:sheetData>
  <x:mergeCells>
    <x:mergeCell ref="A1:AK1"/>
    <x:mergeCell ref="A2:AK2"/>
    <x:mergeCell ref="A7:AK7"/>
    <x:mergeCell ref="A33:AK33"/>
    <x:mergeCell ref="A41:AK41"/>
    <x:mergeCell ref="A50:AK50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  <x:col min="18" max="18" width="13" hidden="0" customWidth="1"/>
    <x:col min="19" max="19" width="13" hidden="0" customWidth="1"/>
    <x:col min="20" max="20" width="13" hidden="0" customWidth="1"/>
    <x:col min="21" max="21" width="13" hidden="0" customWidth="1"/>
    <x:col min="22" max="22" width="13" hidden="0" customWidth="1"/>
    <x:col min="23" max="23" width="13" hidden="0" customWidth="1"/>
    <x:col min="24" max="24" width="13" hidden="0" customWidth="1"/>
    <x:col min="25" max="25" width="13" hidden="0" customWidth="1"/>
    <x:col min="26" max="26" width="13" hidden="0" customWidth="1"/>
    <x:col min="27" max="27" width="13" hidden="0" customWidth="1"/>
    <x:col min="28" max="28" width="13" hidden="0" customWidth="1"/>
    <x:col min="29" max="29" width="13" hidden="0" customWidth="1"/>
    <x:col min="30" max="30" width="13" hidden="0" customWidth="1"/>
    <x:col min="31" max="31" width="13" hidden="0" customWidth="1"/>
    <x:col min="32" max="32" width="13" hidden="0" customWidth="1"/>
    <x:col min="33" max="33" width="13" hidden="0" customWidth="1"/>
    <x:col min="34" max="34" width="13" hidden="0" customWidth="1"/>
    <x:col min="35" max="35" width="13" hidden="0" customWidth="1"/>
    <x:col min="36" max="36" width="13" hidden="0" customWidth="1"/>
    <x:col min="37" max="37" width="13" hidden="0" customWidth="1"/>
  </x:cols>
  <x:sheetData>
    <x:row r="1" ht="32" customHeight="1">
      <x:c r="A1" s="4" t="str">
        <x:v>P&amp;L — 36 месяцев эксплуатации v0.3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Exact tariff / attach-rate snapshot; subtotal, margin and cash lines remain formula-driven.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79"/>
      <x:c r="M2" s="79"/>
      <x:c r="N2" s="79"/>
      <x:c r="O2" s="79"/>
      <x:c r="P2" s="79"/>
      <x:c r="Q2" s="79"/>
      <x:c r="R2" s="79"/>
      <x:c r="S2" s="79"/>
      <x:c r="T2" s="79"/>
      <x:c r="U2" s="79"/>
      <x:c r="V2" s="79"/>
      <x:c r="W2" s="79"/>
      <x:c r="X2" s="79"/>
      <x:c r="Y2" s="79"/>
      <x:c r="Z2" s="79"/>
      <x:c r="AA2" s="79"/>
      <x:c r="AB2" s="79"/>
      <x:c r="AC2" s="79"/>
      <x:c r="AD2" s="79"/>
      <x:c r="AE2" s="79"/>
      <x:c r="AF2" s="79"/>
      <x:c r="AG2" s="79"/>
      <x:c r="AH2" s="79"/>
      <x:c r="AI2" s="79"/>
      <x:c r="AJ2" s="79"/>
      <x:c r="AK2" s="79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>
      <x:c r="A4" s="80"/>
      <x:c r="B4" s="80"/>
      <x:c r="C4" s="80"/>
      <x:c r="D4" s="80"/>
      <x:c r="E4" s="80"/>
      <x:c r="F4" s="80"/>
      <x:c r="G4" s="80"/>
      <x:c r="H4" s="80"/>
      <x:c r="I4" s="80"/>
      <x:c r="J4" s="80"/>
      <x:c r="K4" s="80"/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 ht="26" customHeight="1">
      <x:c r="A5" s="101" t="str">
        <x:v>Показатель</x:v>
      </x:c>
      <x:c r="B5" s="105" t="n">
        <x:v>46753</x:v>
      </x:c>
      <x:c r="C5" s="105" t="n">
        <x:v>46784</x:v>
      </x:c>
      <x:c r="D5" s="105" t="n">
        <x:v>46813</x:v>
      </x:c>
      <x:c r="E5" s="105" t="n">
        <x:v>46844</x:v>
      </x:c>
      <x:c r="F5" s="105" t="n">
        <x:v>46874</x:v>
      </x:c>
      <x:c r="G5" s="105" t="n">
        <x:v>46905</x:v>
      </x:c>
      <x:c r="H5" s="105" t="n">
        <x:v>46935</x:v>
      </x:c>
      <x:c r="I5" s="105" t="n">
        <x:v>46966</x:v>
      </x:c>
      <x:c r="J5" s="105" t="n">
        <x:v>46997</x:v>
      </x:c>
      <x:c r="K5" s="105" t="n">
        <x:v>47027</x:v>
      </x:c>
      <x:c r="L5" s="105" t="n">
        <x:v>47058</x:v>
      </x:c>
      <x:c r="M5" s="105" t="n">
        <x:v>47088</x:v>
      </x:c>
      <x:c r="N5" s="105" t="n">
        <x:v>47119</x:v>
      </x:c>
      <x:c r="O5" s="105" t="n">
        <x:v>47150</x:v>
      </x:c>
      <x:c r="P5" s="105" t="n">
        <x:v>47178</x:v>
      </x:c>
      <x:c r="Q5" s="105" t="n">
        <x:v>47209</x:v>
      </x:c>
      <x:c r="R5" s="105" t="n">
        <x:v>47239</x:v>
      </x:c>
      <x:c r="S5" s="105" t="n">
        <x:v>47270</x:v>
      </x:c>
      <x:c r="T5" s="105" t="n">
        <x:v>47300</x:v>
      </x:c>
      <x:c r="U5" s="105" t="n">
        <x:v>47331</x:v>
      </x:c>
      <x:c r="V5" s="105" t="n">
        <x:v>47362</x:v>
      </x:c>
      <x:c r="W5" s="105" t="n">
        <x:v>47392</x:v>
      </x:c>
      <x:c r="X5" s="105" t="n">
        <x:v>47423</x:v>
      </x:c>
      <x:c r="Y5" s="105" t="n">
        <x:v>47453</x:v>
      </x:c>
      <x:c r="Z5" s="105" t="n">
        <x:v>47484</x:v>
      </x:c>
      <x:c r="AA5" s="105" t="n">
        <x:v>47515</x:v>
      </x:c>
      <x:c r="AB5" s="105" t="n">
        <x:v>47543</x:v>
      </x:c>
      <x:c r="AC5" s="105" t="n">
        <x:v>47574</x:v>
      </x:c>
      <x:c r="AD5" s="105" t="n">
        <x:v>47604</x:v>
      </x:c>
      <x:c r="AE5" s="105" t="n">
        <x:v>47635</x:v>
      </x:c>
      <x:c r="AF5" s="105" t="n">
        <x:v>47665</x:v>
      </x:c>
      <x:c r="AG5" s="105" t="n">
        <x:v>47696</x:v>
      </x:c>
      <x:c r="AH5" s="105" t="n">
        <x:v>47727</x:v>
      </x:c>
      <x:c r="AI5" s="105" t="n">
        <x:v>47757</x:v>
      </x:c>
      <x:c r="AJ5" s="105" t="n">
        <x:v>47788</x:v>
      </x:c>
      <x:c r="AK5" s="105" t="n">
        <x:v>47818</x:v>
      </x:c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0" t="str">
        <x:v>Календарных дней</x:v>
      </x:c>
      <x:c r="B6" s="80" t="n">
        <x:v>31</x:v>
      </x:c>
      <x:c r="C6" s="80" t="n">
        <x:v>29</x:v>
      </x:c>
      <x:c r="D6" s="80" t="n">
        <x:v>31</x:v>
      </x:c>
      <x:c r="E6" s="80" t="n">
        <x:v>30</x:v>
      </x:c>
      <x:c r="F6" s="80" t="n">
        <x:v>31</x:v>
      </x:c>
      <x:c r="G6" s="80" t="n">
        <x:v>30</x:v>
      </x:c>
      <x:c r="H6" s="80" t="n">
        <x:v>31</x:v>
      </x:c>
      <x:c r="I6" s="80" t="n">
        <x:v>31</x:v>
      </x:c>
      <x:c r="J6" s="80" t="n">
        <x:v>30</x:v>
      </x:c>
      <x:c r="K6" s="80" t="n">
        <x:v>31</x:v>
      </x:c>
      <x:c r="L6" s="80" t="n">
        <x:v>30</x:v>
      </x:c>
      <x:c r="M6" s="80" t="n">
        <x:v>31</x:v>
      </x:c>
      <x:c r="N6" s="80" t="n">
        <x:v>31</x:v>
      </x:c>
      <x:c r="O6" s="80" t="n">
        <x:v>28</x:v>
      </x:c>
      <x:c r="P6" s="80" t="n">
        <x:v>31</x:v>
      </x:c>
      <x:c r="Q6" s="80" t="n">
        <x:v>30</x:v>
      </x:c>
      <x:c r="R6" s="80" t="n">
        <x:v>31</x:v>
      </x:c>
      <x:c r="S6" s="80" t="n">
        <x:v>30</x:v>
      </x:c>
      <x:c r="T6" s="80" t="n">
        <x:v>31</x:v>
      </x:c>
      <x:c r="U6" s="80" t="n">
        <x:v>31</x:v>
      </x:c>
      <x:c r="V6" s="80" t="n">
        <x:v>30</x:v>
      </x:c>
      <x:c r="W6" s="80" t="n">
        <x:v>31</x:v>
      </x:c>
      <x:c r="X6" s="80" t="n">
        <x:v>30</x:v>
      </x:c>
      <x:c r="Y6" s="80" t="n">
        <x:v>31</x:v>
      </x:c>
      <x:c r="Z6" s="80" t="n">
        <x:v>31</x:v>
      </x:c>
      <x:c r="AA6" s="80" t="n">
        <x:v>28</x:v>
      </x:c>
      <x:c r="AB6" s="80" t="n">
        <x:v>31</x:v>
      </x:c>
      <x:c r="AC6" s="80" t="n">
        <x:v>30</x:v>
      </x:c>
      <x:c r="AD6" s="80" t="n">
        <x:v>31</x:v>
      </x:c>
      <x:c r="AE6" s="80" t="n">
        <x:v>30</x:v>
      </x:c>
      <x:c r="AF6" s="80" t="n">
        <x:v>31</x:v>
      </x:c>
      <x:c r="AG6" s="80" t="n">
        <x:v>31</x:v>
      </x:c>
      <x:c r="AH6" s="80" t="n">
        <x:v>30</x:v>
      </x:c>
      <x:c r="AI6" s="80" t="n">
        <x:v>31</x:v>
      </x:c>
      <x:c r="AJ6" s="80" t="n">
        <x:v>30</x:v>
      </x:c>
      <x:c r="AK6" s="80" t="n">
        <x:v>31</x:v>
      </x:c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80"/>
      <x:c r="B7" s="80"/>
      <x:c r="C7" s="80"/>
      <x:c r="D7" s="80"/>
      <x:c r="E7" s="80"/>
      <x:c r="F7" s="80"/>
      <x:c r="G7" s="80"/>
      <x:c r="H7" s="80"/>
      <x:c r="I7" s="80"/>
      <x:c r="J7" s="80"/>
      <x:c r="K7" s="80"/>
      <x:c r="L7" s="80"/>
      <x:c r="M7" s="80"/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80" t="str">
        <x:v>Доступные ночи</x:v>
      </x:c>
      <x:c r="B8" s="98" t="n">
        <x:v>273.42</x:v>
      </x:c>
      <x:c r="C8" s="98" t="n">
        <x:v>255.78</x:v>
      </x:c>
      <x:c r="D8" s="98" t="n">
        <x:v>273.42</x:v>
      </x:c>
      <x:c r="E8" s="98" t="n">
        <x:v>264.6</x:v>
      </x:c>
      <x:c r="F8" s="98" t="n">
        <x:v>273.42</x:v>
      </x:c>
      <x:c r="G8" s="98" t="n">
        <x:v>264.6</x:v>
      </x:c>
      <x:c r="H8" s="98" t="n">
        <x:v>273.42</x:v>
      </x:c>
      <x:c r="I8" s="98" t="n">
        <x:v>273.42</x:v>
      </x:c>
      <x:c r="J8" s="98" t="n">
        <x:v>264.6</x:v>
      </x:c>
      <x:c r="K8" s="98" t="n">
        <x:v>273.42</x:v>
      </x:c>
      <x:c r="L8" s="98" t="n">
        <x:v>264.6</x:v>
      </x:c>
      <x:c r="M8" s="98" t="n">
        <x:v>273.42</x:v>
      </x:c>
      <x:c r="N8" s="98" t="n">
        <x:v>273.42</x:v>
      </x:c>
      <x:c r="O8" s="98" t="n">
        <x:v>246.95999999999998</x:v>
      </x:c>
      <x:c r="P8" s="98" t="n">
        <x:v>273.42</x:v>
      </x:c>
      <x:c r="Q8" s="98" t="n">
        <x:v>264.6</x:v>
      </x:c>
      <x:c r="R8" s="98" t="n">
        <x:v>273.42</x:v>
      </x:c>
      <x:c r="S8" s="98" t="n">
        <x:v>264.6</x:v>
      </x:c>
      <x:c r="T8" s="98" t="n">
        <x:v>273.42</x:v>
      </x:c>
      <x:c r="U8" s="98" t="n">
        <x:v>273.42</x:v>
      </x:c>
      <x:c r="V8" s="98" t="n">
        <x:v>264.6</x:v>
      </x:c>
      <x:c r="W8" s="98" t="n">
        <x:v>273.42</x:v>
      </x:c>
      <x:c r="X8" s="98" t="n">
        <x:v>264.6</x:v>
      </x:c>
      <x:c r="Y8" s="98" t="n">
        <x:v>273.42</x:v>
      </x:c>
      <x:c r="Z8" s="98" t="n">
        <x:v>273.42</x:v>
      </x:c>
      <x:c r="AA8" s="98" t="n">
        <x:v>246.95999999999998</x:v>
      </x:c>
      <x:c r="AB8" s="98" t="n">
        <x:v>273.42</x:v>
      </x:c>
      <x:c r="AC8" s="98" t="n">
        <x:v>264.6</x:v>
      </x:c>
      <x:c r="AD8" s="98" t="n">
        <x:v>273.42</x:v>
      </x:c>
      <x:c r="AE8" s="98" t="n">
        <x:v>264.6</x:v>
      </x:c>
      <x:c r="AF8" s="98" t="n">
        <x:v>273.42</x:v>
      </x:c>
      <x:c r="AG8" s="98" t="n">
        <x:v>273.42</x:v>
      </x:c>
      <x:c r="AH8" s="98" t="n">
        <x:v>264.6</x:v>
      </x:c>
      <x:c r="AI8" s="98" t="n">
        <x:v>273.42</x:v>
      </x:c>
      <x:c r="AJ8" s="98" t="n">
        <x:v>264.6</x:v>
      </x:c>
      <x:c r="AK8" s="98" t="n">
        <x:v>273.42</x:v>
      </x:c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80" t="str">
        <x:v>Загрузка</x:v>
      </x:c>
      <x:c r="B9" s="98" t="n">
        <x:f>B10/B8</x:f>
        <x:v>0.27</x:v>
      </x:c>
      <x:c r="C9" s="98" t="n">
        <x:f>C10/C8</x:f>
        <x:v>0.32999999999999996</x:v>
      </x:c>
      <x:c r="D9" s="98" t="n">
        <x:f>D10/D8</x:f>
        <x:v>0.39999999999999997</x:v>
      </x:c>
      <x:c r="E9" s="98" t="n">
        <x:f>E10/E8</x:f>
        <x:v>0.47</x:v>
      </x:c>
      <x:c r="F9" s="98" t="n">
        <x:f>F10/F8</x:f>
        <x:v>0.5499999999999998</x:v>
      </x:c>
      <x:c r="G9" s="98" t="n">
        <x:f>G10/G8</x:f>
        <x:v>0.6699999999999999</x:v>
      </x:c>
      <x:c r="H9" s="98" t="n">
        <x:f>H10/H8</x:f>
        <x:v>0.73</x:v>
      </x:c>
      <x:c r="I9" s="98" t="n">
        <x:f>I10/I8</x:f>
        <x:v>0.69</x:v>
      </x:c>
      <x:c r="J9" s="98" t="n">
        <x:f>J10/J8</x:f>
        <x:v>0.61</x:v>
      </x:c>
      <x:c r="K9" s="98" t="n">
        <x:f>K10/K8</x:f>
        <x:v>0.55</x:v>
      </x:c>
      <x:c r="L9" s="98" t="n">
        <x:f>L10/L8</x:f>
        <x:v>0.48999999999999994</x:v>
      </x:c>
      <x:c r="M9" s="98" t="n">
        <x:f>M10/M8</x:f>
        <x:v>0.6299999999999999</x:v>
      </x:c>
      <x:c r="N9" s="98" t="n">
        <x:f>N10/N8</x:f>
        <x:v>0.44499999999999995</x:v>
      </x:c>
      <x:c r="O9" s="98" t="n">
        <x:f>O10/O8</x:f>
        <x:v>0.47500000000000003</x:v>
      </x:c>
      <x:c r="P9" s="98" t="n">
        <x:f>P10/P8</x:f>
        <x:v>0.515</x:v>
      </x:c>
      <x:c r="Q9" s="98" t="n">
        <x:f>Q10/Q8</x:f>
        <x:v>0.5549999999999999</x:v>
      </x:c>
      <x:c r="R9" s="98" t="n">
        <x:f>R10/R8</x:f>
        <x:v>0.6049999999999999</x:v>
      </x:c>
      <x:c r="S9" s="98" t="n">
        <x:f>S10/S8</x:f>
        <x:v>0.695</x:v>
      </x:c>
      <x:c r="T9" s="98" t="n">
        <x:f>T10/T8</x:f>
        <x:v>0.7549999999999999</x:v>
      </x:c>
      <x:c r="U9" s="98" t="n">
        <x:f>U10/U8</x:f>
        <x:v>0.7149999999999999</x:v>
      </x:c>
      <x:c r="V9" s="98" t="n">
        <x:f>V10/V8</x:f>
        <x:v>0.6349999999999999</x:v>
      </x:c>
      <x:c r="W9" s="98" t="n">
        <x:f>W10/W8</x:f>
        <x:v>0.5750000000000001</x:v>
      </x:c>
      <x:c r="X9" s="98" t="n">
        <x:f>X10/X8</x:f>
        <x:v>0.515</x:v>
      </x:c>
      <x:c r="Y9" s="98" t="n">
        <x:f>Y10/Y8</x:f>
        <x:v>0.655</x:v>
      </x:c>
      <x:c r="Z9" s="98" t="n">
        <x:f>Z10/Z8</x:f>
        <x:v>0.46499999999999997</x:v>
      </x:c>
      <x:c r="AA9" s="98" t="n">
        <x:f>AA10/AA8</x:f>
        <x:v>0.495</x:v>
      </x:c>
      <x:c r="AB9" s="98" t="n">
        <x:f>AB10/AB8</x:f>
        <x:v>0.5349999999999999</x:v>
      </x:c>
      <x:c r="AC9" s="98" t="n">
        <x:f>AC10/AC8</x:f>
        <x:v>0.575</x:v>
      </x:c>
      <x:c r="AD9" s="98" t="n">
        <x:f>AD10/AD8</x:f>
        <x:v>0.6249999999999999</x:v>
      </x:c>
      <x:c r="AE9" s="98" t="n">
        <x:f>AE10/AE8</x:f>
        <x:v>0.715</x:v>
      </x:c>
      <x:c r="AF9" s="98" t="n">
        <x:f>AF10/AF8</x:f>
        <x:v>0.775</x:v>
      </x:c>
      <x:c r="AG9" s="98" t="n">
        <x:f>AG10/AG8</x:f>
        <x:v>0.735</x:v>
      </x:c>
      <x:c r="AH9" s="98" t="n">
        <x:f>AH10/AH8</x:f>
        <x:v>0.655</x:v>
      </x:c>
      <x:c r="AI9" s="98" t="n">
        <x:f>AI10/AI8</x:f>
        <x:v>0.5950000000000001</x:v>
      </x:c>
      <x:c r="AJ9" s="98" t="n">
        <x:f>AJ10/AJ8</x:f>
        <x:v>0.535</x:v>
      </x:c>
      <x:c r="AK9" s="98" t="n">
        <x:f>AK10/AK8</x:f>
        <x:v>0.675</x:v>
      </x:c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80" t="str">
        <x:v>Проданные ночи</x:v>
      </x:c>
      <x:c r="B10" s="98" t="n">
        <x:v>73.8234</x:v>
      </x:c>
      <x:c r="C10" s="98" t="n">
        <x:v>84.4074</x:v>
      </x:c>
      <x:c r="D10" s="98" t="n">
        <x:v>109.368</x:v>
      </x:c>
      <x:c r="E10" s="98" t="n">
        <x:v>124.36200000000001</x:v>
      </x:c>
      <x:c r="F10" s="98" t="n">
        <x:v>150.38099999999997</x:v>
      </x:c>
      <x:c r="G10" s="98" t="n">
        <x:v>177.282</x:v>
      </x:c>
      <x:c r="H10" s="98" t="n">
        <x:v>199.5966</x:v>
      </x:c>
      <x:c r="I10" s="98" t="n">
        <x:v>188.6598</x:v>
      </x:c>
      <x:c r="J10" s="98" t="n">
        <x:v>161.406</x:v>
      </x:c>
      <x:c r="K10" s="98" t="n">
        <x:v>150.38100000000003</x:v>
      </x:c>
      <x:c r="L10" s="98" t="n">
        <x:v>129.654</x:v>
      </x:c>
      <x:c r="M10" s="98" t="n">
        <x:v>172.25459999999998</x:v>
      </x:c>
      <x:c r="N10" s="98" t="n">
        <x:v>121.6719</x:v>
      </x:c>
      <x:c r="O10" s="98" t="n">
        <x:v>117.306</x:v>
      </x:c>
      <x:c r="P10" s="98" t="n">
        <x:v>140.81130000000002</x:v>
      </x:c>
      <x:c r="Q10" s="98" t="n">
        <x:v>146.853</x:v>
      </x:c>
      <x:c r="R10" s="98" t="n">
        <x:v>165.4191</x:v>
      </x:c>
      <x:c r="S10" s="98" t="n">
        <x:v>183.897</x:v>
      </x:c>
      <x:c r="T10" s="98" t="n">
        <x:v>206.4321</x:v>
      </x:c>
      <x:c r="U10" s="98" t="n">
        <x:v>195.4953</x:v>
      </x:c>
      <x:c r="V10" s="98" t="n">
        <x:v>168.021</x:v>
      </x:c>
      <x:c r="W10" s="98" t="n">
        <x:v>157.21650000000002</x:v>
      </x:c>
      <x:c r="X10" s="98" t="n">
        <x:v>136.269</x:v>
      </x:c>
      <x:c r="Y10" s="98" t="n">
        <x:v>179.0901</x:v>
      </x:c>
      <x:c r="Z10" s="98" t="n">
        <x:v>127.1403</x:v>
      </x:c>
      <x:c r="AA10" s="98" t="n">
        <x:v>122.24519999999998</x:v>
      </x:c>
      <x:c r="AB10" s="98" t="n">
        <x:v>146.2797</x:v>
      </x:c>
      <x:c r="AC10" s="98" t="n">
        <x:v>152.145</x:v>
      </x:c>
      <x:c r="AD10" s="98" t="n">
        <x:v>170.8875</x:v>
      </x:c>
      <x:c r="AE10" s="98" t="n">
        <x:v>189.18900000000002</x:v>
      </x:c>
      <x:c r="AF10" s="98" t="n">
        <x:v>211.90050000000002</x:v>
      </x:c>
      <x:c r="AG10" s="98" t="n">
        <x:v>200.96370000000002</x:v>
      </x:c>
      <x:c r="AH10" s="98" t="n">
        <x:v>173.31300000000002</x:v>
      </x:c>
      <x:c r="AI10" s="98" t="n">
        <x:v>162.68490000000003</x:v>
      </x:c>
      <x:c r="AJ10" s="98" t="n">
        <x:v>141.561</x:v>
      </x:c>
      <x:c r="AK10" s="98" t="n">
        <x:v>184.5585</x:v>
      </x:c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80" t="str">
        <x:v>ADR</x:v>
      </x:c>
      <x:c r="B11" s="98" t="n">
        <x:f>B14/B10</x:f>
        <x:v>15163.819588477367</x:v>
      </x:c>
      <x:c r="C11" s="98" t="n">
        <x:f>C14/C10</x:f>
        <x:v>15586.078787878789</x:v>
      </x:c>
      <x:c r="D11" s="98" t="n">
        <x:f>D14/D10</x:f>
        <x:v>16168.783666666668</x:v>
      </x:c>
      <x:c r="E11" s="98" t="n">
        <x:f>E14/E10</x:f>
        <x:v>16910.47550827423</x:v>
      </x:c>
      <x:c r="F11" s="98" t="n">
        <x:f>F14/F10</x:f>
        <x:v>17647.850383838384</x:v>
      </x:c>
      <x:c r="G11" s="98" t="n">
        <x:f>G14/G10</x:f>
        <x:v>19616.608689883917</x:v>
      </x:c>
      <x:c r="H11" s="98" t="n">
        <x:f>H14/H10</x:f>
        <x:v>21036.6502283105</x:v>
      </x:c>
      <x:c r="I11" s="98" t="n">
        <x:f>I14/I10</x:f>
        <x:v>20323.629629629628</x:v>
      </x:c>
      <x:c r="J11" s="98" t="n">
        <x:f>J14/J10</x:f>
        <x:v>18195.866520947176</x:v>
      </x:c>
      <x:c r="K11" s="98" t="n">
        <x:f>K14/K10</x:f>
        <x:v>17123.656808080807</x:v>
      </x:c>
      <x:c r="L11" s="98" t="n">
        <x:f>L14/L10</x:f>
        <x:v>16049.034920634924</x:v>
      </x:c>
      <x:c r="M11" s="98" t="n">
        <x:f>M14/M10</x:f>
        <x:v>19778.041234567903</x:v>
      </x:c>
      <x:c r="N11" s="98" t="n">
        <x:f>N14/N10</x:f>
        <x:v>16247.66877802747</x:v>
      </x:c>
      <x:c r="O11" s="98" t="n">
        <x:f>O14/O10</x:f>
        <x:v>16634.27650526316</x:v>
      </x:c>
      <x:c r="P11" s="98" t="n">
        <x:f>P14/P10</x:f>
        <x:v>17209.398789644016</x:v>
      </x:c>
      <x:c r="Q11" s="98" t="n">
        <x:f>Q14/Q10</x:f>
        <x:v>17968.018342742744</x:v>
      </x:c>
      <x:c r="R11" s="98" t="n">
        <x:f>R14/R10</x:f>
        <x:v>18729.38706078972</x:v>
      </x:c>
      <x:c r="S11" s="98" t="n">
        <x:f>S14/S10</x:f>
        <x:v>20801.769167705843</x:v>
      </x:c>
      <x:c r="T11" s="98" t="n">
        <x:f>T14/T10</x:f>
        <x:v>22306.2393995585</x:v>
      </x:c>
      <x:c r="U11" s="98" t="n">
        <x:f>U14/U10</x:f>
        <x:v>21551.028183372186</x:v>
      </x:c>
      <x:c r="V11" s="98" t="n">
        <x:f>V14/V10</x:f>
        <x:v>19296.731736132984</x:v>
      </x:c>
      <x:c r="W11" s="98" t="n">
        <x:f>W14/W10</x:f>
        <x:v>18161.594328888892</x:v>
      </x:c>
      <x:c r="X11" s="98" t="n">
        <x:f>X14/X10</x:f>
        <x:v>17024.351490830635</x:v>
      </x:c>
      <x:c r="Y11" s="98" t="n">
        <x:f>Y14/Y10</x:f>
        <x:v>20974.018483121294</x:v>
      </x:c>
      <x:c r="Z11" s="98" t="n">
        <x:f>Z14/Z10</x:f>
        <x:v>17234.769648936683</x:v>
      </x:c>
      <x:c r="AA11" s="98" t="n">
        <x:f>AA14/AA10</x:f>
        <x:v>17643.350564040407</x:v>
      </x:c>
      <x:c r="AB11" s="98" t="n">
        <x:f>AB14/AB10</x:f>
        <x:v>18251.678102853588</x:v>
      </x:c>
      <x:c r="AC11" s="98" t="n">
        <x:f>AC14/AC10</x:f>
        <x:v>19054.84825404445</x:v>
      </x:c>
      <x:c r="AD11" s="98" t="n">
        <x:f>AD14/AD10</x:f>
        <x:v>19860.838474247113</x:v>
      </x:c>
      <x:c r="AE11" s="98" t="n">
        <x:f>AE14/AE10</x:f>
        <x:v>22056.362637327125</x:v>
      </x:c>
      <x:c r="AF11" s="98" t="n">
        <x:f>AF14/AF10</x:f>
        <x:v>23650.516735311827</x:v>
      </x:c>
      <x:c r="AG11" s="98" t="n">
        <x:f>AG14/AG10</x:f>
        <x:v>22850.443223534392</x:v>
      </x:c>
      <x:c r="AH11" s="98" t="n">
        <x:f>AH14/AH10</x:f>
        <x:v>20461.732721940632</x:v>
      </x:c>
      <x:c r="AI11" s="98" t="n">
        <x:f>AI14/AI10</x:f>
        <x:v>19259.53477448366</x:v>
      </x:c>
      <x:c r="AJ11" s="98" t="n">
        <x:f>AJ14/AJ10</x:f>
        <x:v>18055.4234995971</x:v>
      </x:c>
      <x:c r="AK11" s="98" t="n">
        <x:f>AK14/AK10</x:f>
        <x:v>22239.81609628313</x:v>
      </x:c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80" t="str">
        <x:v>RevPAR</x:v>
      </x:c>
      <x:c r="B12" s="98" t="n">
        <x:f>B14/B8</x:f>
        <x:v>4094.231288888889</x:v>
      </x:c>
      <x:c r="C12" s="98" t="n">
        <x:f>C14/C8</x:f>
        <x:v>5143.406</x:v>
      </x:c>
      <x:c r="D12" s="98" t="n">
        <x:f>D14/D8</x:f>
        <x:v>6467.513466666666</x:v>
      </x:c>
      <x:c r="E12" s="98" t="n">
        <x:f>E14/E8</x:f>
        <x:v>7947.923488888888</x:v>
      </x:c>
      <x:c r="F12" s="98" t="n">
        <x:f>F14/F8</x:f>
        <x:v>9706.317711111109</x:v>
      </x:c>
      <x:c r="G12" s="98" t="n">
        <x:f>G14/G8</x:f>
        <x:v>13143.127822222223</x:v>
      </x:c>
      <x:c r="H12" s="98" t="n">
        <x:f>H14/H8</x:f>
        <x:v>15356.754666666664</x:v>
      </x:c>
      <x:c r="I12" s="98" t="n">
        <x:f>I14/I8</x:f>
        <x:v>14023.304444444442</x:v>
      </x:c>
      <x:c r="J12" s="98" t="n">
        <x:f>J14/J8</x:f>
        <x:v>11099.478577777776</x:v>
      </x:c>
      <x:c r="K12" s="98" t="n">
        <x:f>K14/K8</x:f>
        <x:v>9418.011244444446</x:v>
      </x:c>
      <x:c r="L12" s="98" t="n">
        <x:f>L14/L8</x:f>
        <x:v>7864.0271111111115</x:v>
      </x:c>
      <x:c r="M12" s="98" t="n">
        <x:f>M14/M8</x:f>
        <x:v>12460.165977777777</x:v>
      </x:c>
      <x:c r="N12" s="98" t="n">
        <x:f>N14/N8</x:f>
        <x:v>7230.212606222223</x:v>
      </x:c>
      <x:c r="O12" s="98" t="n">
        <x:f>O14/O8</x:f>
        <x:v>7901.281340000001</x:v>
      </x:c>
      <x:c r="P12" s="98" t="n">
        <x:f>P14/P8</x:f>
        <x:v>8862.840376666669</x:v>
      </x:c>
      <x:c r="Q12" s="98" t="n">
        <x:f>Q14/Q8</x:f>
        <x:v>9972.250180222223</x:v>
      </x:c>
      <x:c r="R12" s="98" t="n">
        <x:f>R14/R8</x:f>
        <x:v>11331.279171777778</x:v>
      </x:c>
      <x:c r="S12" s="98" t="n">
        <x:f>S14/S8</x:f>
        <x:v>14457.22957155556</x:v>
      </x:c>
      <x:c r="T12" s="98" t="n">
        <x:f>T14/T8</x:f>
        <x:v>16841.210746666668</x:v>
      </x:c>
      <x:c r="U12" s="98" t="n">
        <x:f>U14/U8</x:f>
        <x:v>15408.98515111111</x:v>
      </x:c>
      <x:c r="V12" s="98" t="n">
        <x:f>V14/V8</x:f>
        <x:v>12253.424652444442</x:v>
      </x:c>
      <x:c r="W12" s="98" t="n">
        <x:f>W14/W8</x:f>
        <x:v>10442.916739111113</x:v>
      </x:c>
      <x:c r="X12" s="98" t="n">
        <x:f>X14/X8</x:f>
        <x:v>8767.541017777778</x:v>
      </x:c>
      <x:c r="Y12" s="98" t="n">
        <x:f>Y14/Y8</x:f>
        <x:v>13737.982106444446</x:v>
      </x:c>
      <x:c r="Z12" s="98" t="n">
        <x:f>Z14/Z8</x:f>
        <x:v>8014.167886755556</x:v>
      </x:c>
      <x:c r="AA12" s="98" t="n">
        <x:f>AA14/AA8</x:f>
        <x:v>8733.458529200001</x:v>
      </x:c>
      <x:c r="AB12" s="98" t="n">
        <x:f>AB14/AB8</x:f>
        <x:v>9764.647785026667</x:v>
      </x:c>
      <x:c r="AC12" s="98" t="n">
        <x:f>AC14/AC8</x:f>
        <x:v>10956.537746075557</x:v>
      </x:c>
      <x:c r="AD12" s="98" t="n">
        <x:f>AD14/AD8</x:f>
        <x:v>12413.024046404444</x:v>
      </x:c>
      <x:c r="AE12" s="98" t="n">
        <x:f>AE14/AE8</x:f>
        <x:v>15770.299285688896</x:v>
      </x:c>
      <x:c r="AF12" s="98" t="n">
        <x:f>AF14/AF8</x:f>
        <x:v>18329.150469866665</x:v>
      </x:c>
      <x:c r="AG12" s="98" t="n">
        <x:f>AG14/AG8</x:f>
        <x:v>16795.07576929778</x:v>
      </x:c>
      <x:c r="AH12" s="98" t="n">
        <x:f>AH14/AH8</x:f>
        <x:v>13402.434932871114</x:v>
      </x:c>
      <x:c r="AI12" s="98" t="n">
        <x:f>AI14/AI8</x:f>
        <x:v>11459.42319081778</x:v>
      </x:c>
      <x:c r="AJ12" s="98" t="n">
        <x:f>AJ14/AJ8</x:f>
        <x:v>9659.651572284447</x:v>
      </x:c>
      <x:c r="AK12" s="98" t="n">
        <x:f>AK14/AK8</x:f>
        <x:v>15011.875864991114</x:v>
      </x:c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>
      <x:c r="A13" s="80"/>
      <x:c r="B13" s="98"/>
      <x:c r="C13" s="98"/>
      <x:c r="D13" s="98"/>
      <x:c r="E13" s="98"/>
      <x:c r="F13" s="98"/>
      <x:c r="G13" s="98"/>
      <x:c r="H13" s="98"/>
      <x:c r="I13" s="98"/>
      <x:c r="J13" s="98"/>
      <x:c r="K13" s="98"/>
      <x:c r="L13" s="98"/>
      <x:c r="M13" s="98"/>
      <x:c r="N13" s="98"/>
      <x:c r="O13" s="98"/>
      <x:c r="P13" s="98"/>
      <x:c r="Q13" s="98"/>
      <x:c r="R13" s="98"/>
      <x:c r="S13" s="98"/>
      <x:c r="T13" s="98"/>
      <x:c r="U13" s="98"/>
      <x:c r="V13" s="98"/>
      <x:c r="W13" s="98"/>
      <x:c r="X13" s="98"/>
      <x:c r="Y13" s="98"/>
      <x:c r="Z13" s="98"/>
      <x:c r="AA13" s="98"/>
      <x:c r="AB13" s="98"/>
      <x:c r="AC13" s="98"/>
      <x:c r="AD13" s="98"/>
      <x:c r="AE13" s="98"/>
      <x:c r="AF13" s="98"/>
      <x:c r="AG13" s="98"/>
      <x:c r="AH13" s="98"/>
      <x:c r="AI13" s="98"/>
      <x:c r="AJ13" s="98"/>
      <x:c r="AK13" s="98"/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>
      <x:c r="A14" s="108" t="str">
        <x:v>Выручка проживания</x:v>
      </x:c>
      <x:c r="B14" s="109" t="n">
        <x:v>1119444.719008</x:v>
      </x:c>
      <x:c r="C14" s="109" t="n">
        <x:v>1315580.38668</x:v>
      </x:c>
      <x:c r="D14" s="109" t="n">
        <x:v>1768347.532056</x:v>
      </x:c>
      <x:c r="E14" s="109" t="n">
        <x:v>2103020.55516</x:v>
      </x:c>
      <x:c r="F14" s="109" t="n">
        <x:v>2653901.3885719995</x:v>
      </x:c>
      <x:c r="G14" s="109" t="n">
        <x:v>3477671.6217600005</x:v>
      </x:c>
      <x:c r="H14" s="109" t="n">
        <x:v>4198843.860959999</x:v>
      </x:c>
      <x:c r="I14" s="109" t="n">
        <x:v>3834251.9011999997</x:v>
      </x:c>
      <x:c r="J14" s="109" t="n">
        <x:v>2936922.03168</x:v>
      </x:c>
      <x:c r="K14" s="109" t="n">
        <x:v>2575072.6344560003</x:v>
      </x:c>
      <x:c r="L14" s="109" t="n">
        <x:v>2080821.5736000002</x:v>
      </x:c>
      <x:c r="M14" s="109" t="n">
        <x:v>3406858.581644</x:v>
      </x:c>
      <x:c r="N14" s="109" t="n">
        <x:v>1976884.7307932803</x:v>
      </x:c>
      <x:c r="O14" s="109" t="n">
        <x:v>1951300.4397264002</x:v>
      </x:c>
      <x:c r="P14" s="109" t="n">
        <x:v>2423277.8157882006</x:v>
      </x:c>
      <x:c r="Q14" s="109" t="n">
        <x:v>2638657.3976868005</x:v>
      </x:c>
      <x:c r="R14" s="109" t="n">
        <x:v>3098198.3511474803</x:v>
      </x:c>
      <x:c r="S14" s="109" t="n">
        <x:v>3825382.9446336012</x:v>
      </x:c>
      <x:c r="T14" s="109" t="n">
        <x:v>4604723.8423536</x:v>
      </x:c>
      <x:c r="U14" s="109" t="n">
        <x:v>4213124.7200168</x:v>
      </x:c>
      <x:c r="V14" s="109" t="n">
        <x:v>3242256.1630368</x:v>
      </x:c>
      <x:c r="W14" s="109" t="n">
        <x:v>2855302.294807761</x:v>
      </x:c>
      <x:c r="X14" s="109" t="n">
        <x:v>2319891.353304</x:v>
      </x:c>
      <x:c r="Y14" s="109" t="n">
        <x:v>3756239.0675440407</x:v>
      </x:c>
      <x:c r="Z14" s="109" t="n">
        <x:v>2191233.7835967042</x:v>
      </x:c>
      <x:c r="AA14" s="109" t="n">
        <x:v>2156814.918371232</x:v>
      </x:c>
      <x:c r="AB14" s="109" t="n">
        <x:v>2669849.9973819917</x:v>
      </x:c>
      <x:c r="AC14" s="109" t="n">
        <x:v>2899099.8876115927</x:v>
      </x:c>
      <x:c r="AD14" s="109" t="n">
        <x:v>3393969.0347679034</x:v>
      </x:c>
      <x:c r="AE14" s="109" t="n">
        <x:v>4172821.190993282</x:v>
      </x:c>
      <x:c r="AF14" s="109" t="n">
        <x:v>5011556.321470944</x:v>
      </x:c>
      <x:c r="AG14" s="109" t="n">
        <x:v>4592109.616841399</x:v>
      </x:c>
      <x:c r="AH14" s="109" t="n">
        <x:v>3546284.283237697</x:v>
      </x:c>
      <x:c r="AI14" s="109" t="n">
        <x:v>3133235.4888333976</x:v>
      </x:c>
      <x:c r="AJ14" s="109" t="n">
        <x:v>2555943.806026465</x:v>
      </x:c>
      <x:c r="AK14" s="109" t="n">
        <x:v>4104547.0990058705</x:v>
      </x:c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  <x:row r="15">
      <x:c r="A15" s="80" t="str">
        <x:v>Бани</x:v>
      </x:c>
      <x:c r="B15" s="98" t="n">
        <x:v>57817.82404363637</x:v>
      </x:c>
      <x:c r="C15" s="98" t="n">
        <x:v>66721.25162181817</x:v>
      </x:c>
      <x:c r="D15" s="98" t="n">
        <x:v>87078.42599272728</x:v>
      </x:c>
      <x:c r="E15" s="98" t="n">
        <x:v>99516.90458181818</x:v>
      </x:c>
      <x:c r="F15" s="98" t="n">
        <x:v>120840.65901090906</x:v>
      </x:c>
      <x:c r="G15" s="98" t="n">
        <x:v>143081.0762181818</x:v>
      </x:c>
      <x:c r="H15" s="98" t="n">
        <x:v>161355.33863272727</x:v>
      </x:c>
      <x:c r="I15" s="98" t="n">
        <x:v>152352.07649454544</x:v>
      </x:c>
      <x:c r="J15" s="98" t="n">
        <x:v>130011.82472727272</x:v>
      </x:c>
      <x:c r="K15" s="98" t="n">
        <x:v>120840.65901090909</x:v>
      </x:c>
      <x:c r="L15" s="98" t="n">
        <x:v>103873.32174545455</x:v>
      </x:c>
      <x:c r="M15" s="98" t="n">
        <x:v>138847.18328727272</x:v>
      </x:c>
      <x:c r="N15" s="98" t="n">
        <x:v>97207.09589818181</x:v>
      </x:c>
      <x:c r="O15" s="98" t="n">
        <x:v>93898.94161454545</x:v>
      </x:c>
      <x:c r="P15" s="98" t="n">
        <x:v>112962.80463999999</x:v>
      </x:c>
      <x:c r="Q15" s="98" t="n">
        <x:v>118031.67752727272</x:v>
      </x:c>
      <x:c r="R15" s="98" t="n">
        <x:v>133220.14445090908</x:v>
      </x:c>
      <x:c r="S15" s="98" t="n">
        <x:v>148526.59767272725</x:v>
      </x:c>
      <x:c r="T15" s="98" t="n">
        <x:v>166982.37746909086</x:v>
      </x:c>
      <x:c r="U15" s="98" t="n">
        <x:v>157979.11533090906</x:v>
      </x:c>
      <x:c r="V15" s="98" t="n">
        <x:v>135457.34618181817</x:v>
      </x:c>
      <x:c r="W15" s="98" t="n">
        <x:v>126467.69784727274</x:v>
      </x:c>
      <x:c r="X15" s="98" t="n">
        <x:v>109318.8432</x:v>
      </x:c>
      <x:c r="Y15" s="98" t="n">
        <x:v>144474.22212363634</x:v>
      </x:c>
      <x:c r="Z15" s="98" t="n">
        <x:v>101708.72696727273</x:v>
      </x:c>
      <x:c r="AA15" s="98" t="n">
        <x:v>97964.9309672727</x:v>
      </x:c>
      <x:c r="AB15" s="98" t="n">
        <x:v>117464.4357090909</x:v>
      </x:c>
      <x:c r="AC15" s="98" t="n">
        <x:v>122388.09469090909</x:v>
      </x:c>
      <x:c r="AD15" s="98" t="n">
        <x:v>137721.77552</x:v>
      </x:c>
      <x:c r="AE15" s="98" t="n">
        <x:v>152883.01483636364</x:v>
      </x:c>
      <x:c r="AF15" s="98" t="n">
        <x:v>171484.0085381818</x:v>
      </x:c>
      <x:c r="AG15" s="98" t="n">
        <x:v>162480.74639999997</x:v>
      </x:c>
      <x:c r="AH15" s="98" t="n">
        <x:v>139813.76334545453</x:v>
      </x:c>
      <x:c r="AI15" s="98" t="n">
        <x:v>130969.32891636364</x:v>
      </x:c>
      <x:c r="AJ15" s="98" t="n">
        <x:v>113675.26036363636</x:v>
      </x:c>
      <x:c r="AK15" s="98" t="n">
        <x:v>148975.85319272729</x:v>
      </x:c>
      <x:c r="AL15" s="80"/>
      <x:c r="AM15" s="80"/>
      <x:c r="AN15" s="80"/>
      <x:c r="AO15" s="80"/>
      <x:c r="AP15" s="80"/>
      <x:c r="AQ15" s="80"/>
      <x:c r="AR15" s="80"/>
      <x:c r="AS15" s="80"/>
      <x:c r="AT15" s="80"/>
      <x:c r="AU15" s="80"/>
      <x:c r="AV15" s="80"/>
      <x:c r="AW15" s="80"/>
      <x:c r="AX15" s="80"/>
      <x:c r="AY15" s="80"/>
      <x:c r="AZ15" s="80"/>
    </x:row>
    <x:row r="16">
      <x:c r="A16" s="80" t="str">
        <x:v>Чаны</x:v>
      </x:c>
      <x:c r="B16" s="98" t="n">
        <x:v>99493.47812727273</x:v>
      </x:c>
      <x:c r="C16" s="98" t="n">
        <x:v>114201.89454545453</x:v>
      </x:c>
      <x:c r="D16" s="98" t="n">
        <x:v>148426.3646090909</x:v>
      </x:c>
      <x:c r="E16" s="98" t="n">
        <x:v>169136.9438181818</x:v>
      </x:c>
      <x:c r="F16" s="98" t="n">
        <x:v>204887.38747272722</x:v>
      </x:c>
      <x:c r="G16" s="98" t="n">
        <x:v>241989.87654545455</x:v>
      </x:c>
      <x:c r="H16" s="98" t="n">
        <x:v>272640.6149090909</x:v>
      </x:c>
      <x:c r="I16" s="98" t="n">
        <x:v>257584.3421454545</x:v>
      </x:c>
      <x:c r="J16" s="98" t="n">
        <x:v>220133.9967272727</x:v>
      </x:c>
      <x:c r="K16" s="98" t="n">
        <x:v>204887.38747272728</x:v>
      </x:c>
      <x:c r="L16" s="98" t="n">
        <x:v>176422.2370909091</x:v>
      </x:c>
      <x:c r="M16" s="98" t="n">
        <x:v>234999.93300000002</x:v>
      </x:c>
      <x:c r="N16" s="98" t="n">
        <x:v>165364.6714681818</x:v>
      </x:c>
      <x:c r="O16" s="98" t="n">
        <x:v>159561.04932727272</x:v>
      </x:c>
      <x:c r="P16" s="98" t="n">
        <x:v>191713.14880454546</x:v>
      </x:c>
      <x:c r="Q16" s="98" t="n">
        <x:v>200099.44022727272</x:v>
      </x:c>
      <x:c r="R16" s="98" t="n">
        <x:v>225589.76252272728</x:v>
      </x:c>
      <x:c r="S16" s="98" t="n">
        <x:v>251096.49313636363</x:v>
      </x:c>
      <x:c r="T16" s="98" t="n">
        <x:v>282050.7853863636</x:v>
      </x:c>
      <x:c r="U16" s="98" t="n">
        <x:v>266994.5126227272</x:v>
      </x:c>
      <x:c r="V16" s="98" t="n">
        <x:v>229240.61331818177</x:v>
      </x:c>
      <x:c r="W16" s="98" t="n">
        <x:v>214297.55795000002</x:v>
      </x:c>
      <x:c r="X16" s="98" t="n">
        <x:v>185528.85368181817</x:v>
      </x:c>
      <x:c r="Y16" s="98" t="n">
        <x:v>244410.1034772727</x:v>
      </x:c>
      <x:c r="Z16" s="98" t="n">
        <x:v>172892.80784999998</x:v>
      </x:c>
      <x:c r="AA16" s="98" t="n">
        <x:v>166360.65638181815</x:v>
      </x:c>
      <x:c r="AB16" s="98" t="n">
        <x:v>199241.28518636362</x:v>
      </x:c>
      <x:c r="AC16" s="98" t="n">
        <x:v>207384.73349999997</x:v>
      </x:c>
      <x:c r="AD16" s="98" t="n">
        <x:v>233117.8989045454</x:v>
      </x:c>
      <x:c r="AE16" s="98" t="n">
        <x:v>258381.7864090909</x:v>
      </x:c>
      <x:c r="AF16" s="98" t="n">
        <x:v>289578.9217681818</x:v>
      </x:c>
      <x:c r="AG16" s="98" t="n">
        <x:v>274522.6490045454</x:v>
      </x:c>
      <x:c r="AH16" s="98" t="n">
        <x:v>236525.90659090906</x:v>
      </x:c>
      <x:c r="AI16" s="98" t="n">
        <x:v>221825.6943318182</x:v>
      </x:c>
      <x:c r="AJ16" s="98" t="n">
        <x:v>192814.14695454546</x:v>
      </x:c>
      <x:c r="AK16" s="98" t="n">
        <x:v>251938.23985909094</x:v>
      </x:c>
      <x:c r="AL16" s="80"/>
      <x:c r="AM16" s="80"/>
      <x:c r="AN16" s="80"/>
      <x:c r="AO16" s="80"/>
      <x:c r="AP16" s="80"/>
      <x:c r="AQ16" s="80"/>
      <x:c r="AR16" s="80"/>
      <x:c r="AS16" s="80"/>
      <x:c r="AT16" s="80"/>
      <x:c r="AU16" s="80"/>
      <x:c r="AV16" s="80"/>
      <x:c r="AW16" s="80"/>
      <x:c r="AX16" s="80"/>
      <x:c r="AY16" s="80"/>
      <x:c r="AZ16" s="80"/>
    </x:row>
    <x:row r="17">
      <x:c r="A17" s="80" t="str">
        <x:v>Питание и доставка</x:v>
      </x:c>
      <x:c r="B17" s="98" t="n">
        <x:v>166656.39454545456</x:v>
      </x:c>
      <x:c r="C17" s="98" t="n">
        <x:v>191037.68981818183</x:v>
      </x:c>
      <x:c r="D17" s="98" t="n">
        <x:v>248028.39599999998</x:v>
      </x:c>
      <x:c r="E17" s="98" t="n">
        <x:v>282429.7636363636</x:v>
      </x:c>
      <x:c r="F17" s="98" t="n">
        <x:v>341919.1669090908</x:v>
      </x:c>
      <x:c r="G17" s="98" t="n">
        <x:v>403579.1454545454</x:v>
      </x:c>
      <x:c r="H17" s="98" t="n">
        <x:v>454588.092</x:v>
      </x:c>
      <x:c r="I17" s="98" t="n">
        <x:v>429550.55309090903</x:v>
      </x:c>
      <x:c r="J17" s="98" t="n">
        <x:v>367234.33090909093</x:v>
      </x:c>
      <x:c r="K17" s="98" t="n">
        <x:v>341919.1669090909</x:v>
      </x:c>
      <x:c r="L17" s="98" t="n">
        <x:v>294544.7018181818</x:v>
      </x:c>
      <x:c r="M17" s="98" t="n">
        <x:v>391994.2447272727</x:v>
      </x:c>
      <x:c r="N17" s="98" t="n">
        <x:v>276195.62727272726</x:v>
      </x:c>
      <x:c r="O17" s="98" t="n">
        <x:v>266427.9316363637</x:v>
      </x:c>
      <x:c r="P17" s="98" t="n">
        <x:v>320011.32036363636</x:v>
      </x:c>
      <x:c r="Q17" s="98" t="n">
        <x:v>333918.2509090909</x:v>
      </x:c>
      <x:c r="R17" s="98" t="n">
        <x:v>376345.7829090909</x:v>
      </x:c>
      <x:c r="S17" s="98" t="n">
        <x:v>418722.8181818181</x:v>
      </x:c>
      <x:c r="T17" s="98" t="n">
        <x:v>470236.55381818174</x:v>
      </x:c>
      <x:c r="U17" s="98" t="n">
        <x:v>445199.0149090909</x:v>
      </x:c>
      <x:c r="V17" s="98" t="n">
        <x:v>382378.00363636354</x:v>
      </x:c>
      <x:c r="W17" s="98" t="n">
        <x:v>357567.62872727273</x:v>
      </x:c>
      <x:c r="X17" s="98" t="n">
        <x:v>309688.3745454545</x:v>
      </x:c>
      <x:c r="Y17" s="98" t="n">
        <x:v>407642.7065454545</x:v>
      </x:c>
      <x:c r="Z17" s="98" t="n">
        <x:v>288714.39672727266</x:v>
      </x:c>
      <x:c r="AA17" s="98" t="n">
        <x:v>277735.2072727272</x:v>
      </x:c>
      <x:c r="AB17" s="98" t="n">
        <x:v>332530.0898181818</x:v>
      </x:c>
      <x:c r="AC17" s="98" t="n">
        <x:v>346033.1890909091</x:v>
      </x:c>
      <x:c r="AD17" s="98" t="n">
        <x:v>388864.5523636363</x:v>
      </x:c>
      <x:c r="AE17" s="98" t="n">
        <x:v>430837.75636363635</x:v>
      </x:c>
      <x:c r="AF17" s="98" t="n">
        <x:v>482755.32327272726</x:v>
      </x:c>
      <x:c r="AG17" s="98" t="n">
        <x:v>457717.7843636363</x:v>
      </x:c>
      <x:c r="AH17" s="98" t="n">
        <x:v>394492.9418181818</x:v>
      </x:c>
      <x:c r="AI17" s="98" t="n">
        <x:v>370086.3981818182</x:v>
      </x:c>
      <x:c r="AJ17" s="98" t="n">
        <x:v>321803.31272727274</x:v>
      </x:c>
      <x:c r="AK17" s="98" t="n">
        <x:v>420161.476</x:v>
      </x:c>
      <x:c r="AL17" s="80"/>
      <x:c r="AM17" s="80"/>
      <x:c r="AN17" s="80"/>
      <x:c r="AO17" s="80"/>
      <x:c r="AP17" s="80"/>
      <x:c r="AQ17" s="80"/>
      <x:c r="AR17" s="80"/>
      <x:c r="AS17" s="80"/>
      <x:c r="AT17" s="80"/>
      <x:c r="AU17" s="80"/>
      <x:c r="AV17" s="80"/>
      <x:c r="AW17" s="80"/>
      <x:c r="AX17" s="80"/>
      <x:c r="AY17" s="80"/>
      <x:c r="AZ17" s="80"/>
    </x:row>
    <x:row r="18">
      <x:c r="A18" s="80" t="str">
        <x:v>Прочие допы</x:v>
      </x:c>
      <x:c r="B18" s="98" t="n">
        <x:v>69763.11300000001</x:v>
      </x:c>
      <x:c r="C18" s="98" t="n">
        <x:v>79764.99299999999</x:v>
      </x:c>
      <x:c r="D18" s="98" t="n">
        <x:v>103352.76</x:v>
      </x:c>
      <x:c r="E18" s="98" t="n">
        <x:v>117522.09</x:v>
      </x:c>
      <x:c r="F18" s="98" t="n">
        <x:v>142110.04499999995</x:v>
      </x:c>
      <x:c r="G18" s="98" t="n">
        <x:v>167531.49</x:v>
      </x:c>
      <x:c r="H18" s="98" t="n">
        <x:v>188618.787</x:v>
      </x:c>
      <x:c r="I18" s="98" t="n">
        <x:v>178283.51099999997</x:v>
      </x:c>
      <x:c r="J18" s="98" t="n">
        <x:v>152528.66999999998</x:v>
      </x:c>
      <x:c r="K18" s="98" t="n">
        <x:v>142110.04499999998</x:v>
      </x:c>
      <x:c r="L18" s="98" t="n">
        <x:v>122523.03</x:v>
      </x:c>
      <x:c r="M18" s="98" t="n">
        <x:v>162780.597</x:v>
      </x:c>
      <x:c r="N18" s="98" t="n">
        <x:v>114979.9455</x:v>
      </x:c>
      <x:c r="O18" s="98" t="n">
        <x:v>110854.16999999998</x:v>
      </x:c>
      <x:c r="P18" s="98" t="n">
        <x:v>133066.6785</x:v>
      </x:c>
      <x:c r="Q18" s="98" t="n">
        <x:v>138776.08500000002</x:v>
      </x:c>
      <x:c r="R18" s="98" t="n">
        <x:v>156321.0495</x:v>
      </x:c>
      <x:c r="S18" s="98" t="n">
        <x:v>173782.665</x:v>
      </x:c>
      <x:c r="T18" s="98" t="n">
        <x:v>195078.3345</x:v>
      </x:c>
      <x:c r="U18" s="98" t="n">
        <x:v>184743.05849999996</x:v>
      </x:c>
      <x:c r="V18" s="98" t="n">
        <x:v>158779.84499999997</x:v>
      </x:c>
      <x:c r="W18" s="98" t="n">
        <x:v>148569.59250000003</x:v>
      </x:c>
      <x:c r="X18" s="98" t="n">
        <x:v>128774.20499999999</x:v>
      </x:c>
      <x:c r="Y18" s="98" t="n">
        <x:v>169240.14449999997</x:v>
      </x:c>
      <x:c r="Z18" s="98" t="n">
        <x:v>120147.58349999998</x:v>
      </x:c>
      <x:c r="AA18" s="98" t="n">
        <x:v>115521.71399999996</x:v>
      </x:c>
      <x:c r="AB18" s="98" t="n">
        <x:v>138234.31649999996</x:v>
      </x:c>
      <x:c r="AC18" s="98" t="n">
        <x:v>143777.02500000002</x:v>
      </x:c>
      <x:c r="AD18" s="98" t="n">
        <x:v>161488.68750000003</x:v>
      </x:c>
      <x:c r="AE18" s="98" t="n">
        <x:v>178783.60500000004</x:v>
      </x:c>
      <x:c r="AF18" s="98" t="n">
        <x:v>200245.97249999997</x:v>
      </x:c>
      <x:c r="AG18" s="98" t="n">
        <x:v>189910.69649999996</x:v>
      </x:c>
      <x:c r="AH18" s="98" t="n">
        <x:v>163780.785</x:v>
      </x:c>
      <x:c r="AI18" s="98" t="n">
        <x:v>153737.2305</x:v>
      </x:c>
      <x:c r="AJ18" s="98" t="n">
        <x:v>133775.145</x:v>
      </x:c>
      <x:c r="AK18" s="98" t="n">
        <x:v>174407.78250000003</x:v>
      </x:c>
      <x:c r="AL18" s="80"/>
      <x:c r="AM18" s="80"/>
      <x:c r="AN18" s="80"/>
      <x:c r="AO18" s="80"/>
      <x:c r="AP18" s="80"/>
      <x:c r="AQ18" s="80"/>
      <x:c r="AR18" s="80"/>
      <x:c r="AS18" s="80"/>
      <x:c r="AT18" s="80"/>
      <x:c r="AU18" s="80"/>
      <x:c r="AV18" s="80"/>
      <x:c r="AW18" s="80"/>
      <x:c r="AX18" s="80"/>
      <x:c r="AY18" s="80"/>
      <x:c r="AZ18" s="80"/>
    </x:row>
    <x:row r="19">
      <x:c r="A19" s="99" t="str">
        <x:v>TOTAL REVENUE</x:v>
      </x:c>
      <x:c r="B19" s="100" t="n">
        <x:f>SUM(B14:B18)</x:f>
        <x:v>1513175.528724364</x:v>
      </x:c>
      <x:c r="C19" s="100" t="n">
        <x:f>SUM(C14:C18)</x:f>
        <x:v>1767306.2156654545</x:v>
      </x:c>
      <x:c r="D19" s="100" t="n">
        <x:f>SUM(D14:D18)</x:f>
        <x:v>2355233.478657818</x:v>
      </x:c>
      <x:c r="E19" s="100" t="n">
        <x:f>SUM(E14:E18)</x:f>
        <x:v>2771626.2571963635</x:v>
      </x:c>
      <x:c r="F19" s="100" t="n">
        <x:f>SUM(F14:F18)</x:f>
        <x:v>3463658.6469647265</x:v>
      </x:c>
      <x:c r="G19" s="100" t="n">
        <x:f>SUM(G14:G18)</x:f>
        <x:v>4433853.209978182</x:v>
      </x:c>
      <x:c r="H19" s="100" t="n">
        <x:f>SUM(H14:H18)</x:f>
        <x:v>5276046.693501817</x:v>
      </x:c>
      <x:c r="I19" s="100" t="n">
        <x:f>SUM(I14:I18)</x:f>
        <x:v>4852022.3839309085</x:v>
      </x:c>
      <x:c r="J19" s="100" t="n">
        <x:f>SUM(J14:J18)</x:f>
        <x:v>3806830.8540436365</x:v>
      </x:c>
      <x:c r="K19" s="100" t="n">
        <x:f>SUM(K14:K18)</x:f>
        <x:v>3384829.8928487273</x:v>
      </x:c>
      <x:c r="L19" s="100" t="n">
        <x:f>SUM(L14:L18)</x:f>
        <x:v>2778184.864254545</x:v>
      </x:c>
      <x:c r="M19" s="100" t="n">
        <x:f>SUM(M14:M18)</x:f>
        <x:v>4335480.5396585455</x:v>
      </x:c>
      <x:c r="N19" s="100" t="n">
        <x:f>SUM(N14:N18)</x:f>
        <x:v>2630632.0709323715</x:v>
      </x:c>
      <x:c r="O19" s="100" t="n">
        <x:f>SUM(O14:O18)</x:f>
        <x:v>2582042.532304582</x:v>
      </x:c>
      <x:c r="P19" s="100" t="n">
        <x:f>SUM(P14:P18)</x:f>
        <x:v>3181031.7680963823</x:v>
      </x:c>
      <x:c r="Q19" s="100" t="n">
        <x:f>SUM(Q14:Q18)</x:f>
        <x:v>3429482.851350437</x:v>
      </x:c>
      <x:c r="R19" s="100" t="n">
        <x:f>SUM(R14:R18)</x:f>
        <x:v>3989675.090530208</x:v>
      </x:c>
      <x:c r="S19" s="100" t="n">
        <x:f>SUM(S14:S18)</x:f>
        <x:v>4817511.518624511</x:v>
      </x:c>
      <x:c r="T19" s="100" t="n">
        <x:f>SUM(T14:T18)</x:f>
        <x:v>5719071.893527237</x:v>
      </x:c>
      <x:c r="U19" s="100" t="n">
        <x:f>SUM(U14:U18)</x:f>
        <x:v>5268040.421379527</x:v>
      </x:c>
      <x:c r="V19" s="100" t="n">
        <x:f>SUM(V14:V18)</x:f>
        <x:v>4148111.9711731635</x:v>
      </x:c>
      <x:c r="W19" s="100" t="n">
        <x:f>SUM(W14:W18)</x:f>
        <x:v>3702204.771832306</x:v>
      </x:c>
      <x:c r="X19" s="100" t="n">
        <x:f>SUM(X14:X18)</x:f>
        <x:v>3053201.629731273</x:v>
      </x:c>
      <x:c r="Y19" s="100" t="n">
        <x:f>SUM(Y14:Y18)</x:f>
        <x:v>4722006.244190405</x:v>
      </x:c>
      <x:c r="Z19" s="100" t="n">
        <x:f>SUM(Z14:Z18)</x:f>
        <x:v>2874697.29864125</x:v>
      </x:c>
      <x:c r="AA19" s="100" t="n">
        <x:f>SUM(AA14:AA18)</x:f>
        <x:v>2814397.42699305</x:v>
      </x:c>
      <x:c r="AB19" s="100" t="n">
        <x:f>SUM(AB14:AB18)</x:f>
        <x:v>3457320.124595628</x:v>
      </x:c>
      <x:c r="AC19" s="100" t="n">
        <x:f>SUM(AC14:AC18)</x:f>
        <x:v>3718682.9298934108</x:v>
      </x:c>
      <x:c r="AD19" s="100" t="n">
        <x:f>SUM(AD14:AD18)</x:f>
        <x:v>4315161.949056085</x:v>
      </x:c>
      <x:c r="AE19" s="100" t="n">
        <x:f>SUM(AE14:AE18)</x:f>
        <x:v>5193707.353602374</x:v>
      </x:c>
      <x:c r="AF19" s="100" t="n">
        <x:f>SUM(AF14:AF18)</x:f>
        <x:v>6155620.547550036</x:v>
      </x:c>
      <x:c r="AG19" s="100" t="n">
        <x:f>SUM(AG14:AG18)</x:f>
        <x:v>5676741.49310958</x:v>
      </x:c>
      <x:c r="AH19" s="100" t="n">
        <x:f>SUM(AH14:AH18)</x:f>
        <x:v>4480897.679992243</x:v>
      </x:c>
      <x:c r="AI19" s="100" t="n">
        <x:f>SUM(AI14:AI18)</x:f>
        <x:v>4009854.140763398</x:v>
      </x:c>
      <x:c r="AJ19" s="100" t="n">
        <x:f>SUM(AJ14:AJ18)</x:f>
        <x:v>3318011.671071919</x:v>
      </x:c>
      <x:c r="AK19" s="100" t="n">
        <x:f>SUM(AK14:AK18)</x:f>
        <x:v>5100030.450557688</x:v>
      </x:c>
      <x:c r="AL19" s="80"/>
      <x:c r="AM19" s="80"/>
      <x:c r="AN19" s="80"/>
      <x:c r="AO19" s="80"/>
      <x:c r="AP19" s="80"/>
      <x:c r="AQ19" s="80"/>
      <x:c r="AR19" s="80"/>
      <x:c r="AS19" s="80"/>
      <x:c r="AT19" s="80"/>
      <x:c r="AU19" s="80"/>
      <x:c r="AV19" s="80"/>
      <x:c r="AW19" s="80"/>
      <x:c r="AX19" s="80"/>
      <x:c r="AY19" s="80"/>
      <x:c r="AZ19" s="80"/>
    </x:row>
    <x:row r="20">
      <x:c r="A20" s="80"/>
      <x:c r="B20" s="98"/>
      <x:c r="C20" s="98"/>
      <x:c r="D20" s="98"/>
      <x:c r="E20" s="98"/>
      <x:c r="F20" s="98"/>
      <x:c r="G20" s="98"/>
      <x:c r="H20" s="98"/>
      <x:c r="I20" s="98"/>
      <x:c r="J20" s="98"/>
      <x:c r="K20" s="98"/>
      <x:c r="L20" s="98"/>
      <x:c r="M20" s="98"/>
      <x:c r="N20" s="98"/>
      <x:c r="O20" s="98"/>
      <x:c r="P20" s="98"/>
      <x:c r="Q20" s="98"/>
      <x:c r="R20" s="98"/>
      <x:c r="S20" s="98"/>
      <x:c r="T20" s="98"/>
      <x:c r="U20" s="98"/>
      <x:c r="V20" s="98"/>
      <x:c r="W20" s="98"/>
      <x:c r="X20" s="98"/>
      <x:c r="Y20" s="98"/>
      <x:c r="Z20" s="98"/>
      <x:c r="AA20" s="98"/>
      <x:c r="AB20" s="98"/>
      <x:c r="AC20" s="98"/>
      <x:c r="AD20" s="98"/>
      <x:c r="AE20" s="98"/>
      <x:c r="AF20" s="98"/>
      <x:c r="AG20" s="98"/>
      <x:c r="AH20" s="98"/>
      <x:c r="AI20" s="98"/>
      <x:c r="AJ20" s="98"/>
      <x:c r="AK20" s="98"/>
      <x:c r="AL20" s="80"/>
      <x:c r="AM20" s="80"/>
      <x:c r="AN20" s="80"/>
      <x:c r="AO20" s="80"/>
      <x:c r="AP20" s="80"/>
      <x:c r="AQ20" s="80"/>
      <x:c r="AR20" s="80"/>
      <x:c r="AS20" s="80"/>
      <x:c r="AT20" s="80"/>
      <x:c r="AU20" s="80"/>
      <x:c r="AV20" s="80"/>
      <x:c r="AW20" s="80"/>
      <x:c r="AX20" s="80"/>
      <x:c r="AY20" s="80"/>
      <x:c r="AZ20" s="80"/>
    </x:row>
    <x:row r="21">
      <x:c r="A21" s="108" t="str">
        <x:v>Переменный OPEX</x:v>
      </x:c>
      <x:c r="B21" s="109" t="n">
        <x:v>474427.3644745088</x:v>
      </x:c>
      <x:c r="C21" s="109" t="n">
        <x:v>548019.7588239909</x:v>
      </x:c>
      <x:c r="D21" s="109" t="n">
        <x:v>719525.130940122</x:v>
      </x:c>
      <x:c r="E21" s="109" t="n">
        <x:v>831395.0425538325</x:v>
      </x:c>
      <x:c r="F21" s="109" t="n">
        <x:v>1021129.9764086483</x:v>
      </x:c>
      <x:c r="G21" s="109" t="n">
        <x:v>1252440.6727650964</x:v>
      </x:c>
      <x:c r="H21" s="109" t="n">
        <x:v>1449323.1782038559</x:v>
      </x:c>
      <x:c r="I21" s="109" t="n">
        <x:v>1351246.3352226475</x:v>
      </x:c>
      <x:c r="J21" s="109" t="n">
        <x:v>1108490.4652186264</x:v>
      </x:c>
      <x:c r="K21" s="109" t="n">
        <x:v>1010298.5114493396</x:v>
      </x:c>
      <x:c r="L21" s="109" t="n">
        <x:v>851560.9615330898</x:v>
      </x:c>
      <x:c r="M21" s="109" t="n">
        <x:v>1220550.2290234773</x:v>
      </x:c>
      <x:c r="N21" s="109" t="n">
        <x:v>816757.4080768017</x:v>
      </x:c>
      <x:c r="O21" s="109" t="n">
        <x:v>793879.7995573259</x:v>
      </x:c>
      <x:c r="P21" s="109" t="n">
        <x:v>964355.9262337032</x:v>
      </x:c>
      <x:c r="Q21" s="109" t="n">
        <x:v>1021285.3055733911</x:v>
      </x:c>
      <x:c r="R21" s="109" t="n">
        <x:v>1168001.5090831125</x:v>
      </x:c>
      <x:c r="S21" s="109" t="n">
        <x:v>1351305.79963518</x:v>
      </x:c>
      <x:c r="T21" s="109" t="n">
        <x:v>1559852.5220162345</x:v>
      </x:c>
      <x:c r="U21" s="109" t="n">
        <x:v>1456752.3438611613</x:v>
      </x:c>
      <x:c r="V21" s="109" t="n">
        <x:v>1199627.634088344</x:v>
      </x:c>
      <x:c r="W21" s="109" t="n">
        <x:v>1097657.000898964</x:v>
      </x:c>
      <x:c r="X21" s="109" t="n">
        <x:v>929782.8371639543</x:v>
      </x:c>
      <x:c r="Y21" s="109" t="n">
        <x:v>1320035.2196575634</x:v>
      </x:c>
      <x:c r="Z21" s="109" t="n">
        <x:v>887028.5362124486</x:v>
      </x:c>
      <x:c r="AA21" s="109" t="n">
        <x:v>859929.2353066609</x:v>
      </x:c>
      <x:c r="AB21" s="109" t="n">
        <x:v>1041489.2050607908</x:v>
      </x:c>
      <x:c r="AC21" s="109" t="n">
        <x:v>1100275.4599420163</x:v>
      </x:c>
      <x:c r="AD21" s="109" t="n">
        <x:v>1255025.0202411693</x:v>
      </x:c>
      <x:c r="AE21" s="109" t="n">
        <x:v>1446961.6027167407</x:v>
      </x:c>
      <x:c r="AF21" s="109" t="n">
        <x:v>1667353.3327845463</x:v>
      </x:c>
      <x:c r="AG21" s="109" t="n">
        <x:v>1559035.5966245378</x:v>
      </x:c>
      <x:c r="AH21" s="109" t="n">
        <x:v>1287299.2415850575</x:v>
      </x:c>
      <x:c r="AI21" s="109" t="n">
        <x:v>1181186.1810792494</x:v>
      </x:c>
      <x:c r="AJ21" s="109" t="n">
        <x:v>1004075.3936707936</x:v>
      </x:c>
      <x:c r="AK21" s="109" t="n">
        <x:v>1416016.5762957688</x:v>
      </x:c>
      <x:c r="AL21" s="80"/>
      <x:c r="AM21" s="80"/>
      <x:c r="AN21" s="80"/>
      <x:c r="AO21" s="80"/>
      <x:c r="AP21" s="80"/>
      <x:c r="AQ21" s="80"/>
      <x:c r="AR21" s="80"/>
      <x:c r="AS21" s="80"/>
      <x:c r="AT21" s="80"/>
      <x:c r="AU21" s="80"/>
      <x:c r="AV21" s="80"/>
      <x:c r="AW21" s="80"/>
      <x:c r="AX21" s="80"/>
      <x:c r="AY21" s="80"/>
      <x:c r="AZ21" s="80"/>
    </x:row>
    <x:row r="22">
      <x:c r="A22" s="99" t="str">
        <x:v>CONTRIBUTION</x:v>
      </x:c>
      <x:c r="B22" s="100" t="n">
        <x:f>B19-B21</x:f>
        <x:v>1038748.1642498552</x:v>
      </x:c>
      <x:c r="C22" s="100" t="n">
        <x:f>C19-C21</x:f>
        <x:v>1219286.4568414637</x:v>
      </x:c>
      <x:c r="D22" s="100" t="n">
        <x:f>D19-D21</x:f>
        <x:v>1635708.3477176959</x:v>
      </x:c>
      <x:c r="E22" s="100" t="n">
        <x:f>E19-E21</x:f>
        <x:v>1940231.214642531</x:v>
      </x:c>
      <x:c r="F22" s="100" t="n">
        <x:f>F19-F21</x:f>
        <x:v>2442528.670556078</x:v>
      </x:c>
      <x:c r="G22" s="100" t="n">
        <x:f>G19-G21</x:f>
        <x:v>3181412.537213085</x:v>
      </x:c>
      <x:c r="H22" s="100" t="n">
        <x:f>H19-H21</x:f>
        <x:v>3826723.5152979614</x:v>
      </x:c>
      <x:c r="I22" s="100" t="n">
        <x:f>I19-I21</x:f>
        <x:v>3500776.048708261</x:v>
      </x:c>
      <x:c r="J22" s="100" t="n">
        <x:f>J19-J21</x:f>
        <x:v>2698340.38882501</x:v>
      </x:c>
      <x:c r="K22" s="100" t="n">
        <x:f>K19-K21</x:f>
        <x:v>2374531.3813993875</x:v>
      </x:c>
      <x:c r="L22" s="100" t="n">
        <x:f>L19-L21</x:f>
        <x:v>1926623.9027214553</x:v>
      </x:c>
      <x:c r="M22" s="100" t="n">
        <x:f>M19-M21</x:f>
        <x:v>3114930.3106350685</x:v>
      </x:c>
      <x:c r="N22" s="100" t="n">
        <x:f>N19-N21</x:f>
        <x:v>1813874.6628555697</x:v>
      </x:c>
      <x:c r="O22" s="100" t="n">
        <x:f>O19-O21</x:f>
        <x:v>1788162.7327472563</x:v>
      </x:c>
      <x:c r="P22" s="100" t="n">
        <x:f>P19-P21</x:f>
        <x:v>2216675.841862679</x:v>
      </x:c>
      <x:c r="Q22" s="100" t="n">
        <x:f>Q19-Q21</x:f>
        <x:v>2408197.5457770457</x:v>
      </x:c>
      <x:c r="R22" s="100" t="n">
        <x:f>R19-R21</x:f>
        <x:v>2821673.5814470956</x:v>
      </x:c>
      <x:c r="S22" s="100" t="n">
        <x:f>S19-S21</x:f>
        <x:v>3466205.7189893303</x:v>
      </x:c>
      <x:c r="T22" s="100" t="n">
        <x:f>T19-T21</x:f>
        <x:v>4159219.371511002</x:v>
      </x:c>
      <x:c r="U22" s="100" t="n">
        <x:f>U19-U21</x:f>
        <x:v>3811288.077518366</x:v>
      </x:c>
      <x:c r="V22" s="100" t="n">
        <x:f>V19-V21</x:f>
        <x:v>2948484.3370848196</x:v>
      </x:c>
      <x:c r="W22" s="100" t="n">
        <x:f>W19-W21</x:f>
        <x:v>2604547.770933342</x:v>
      </x:c>
      <x:c r="X22" s="100" t="n">
        <x:f>X19-X21</x:f>
        <x:v>2123418.7925673183</x:v>
      </x:c>
      <x:c r="Y22" s="100" t="n">
        <x:f>Y19-Y21</x:f>
        <x:v>3401971.0245328415</x:v>
      </x:c>
      <x:c r="Z22" s="100" t="n">
        <x:f>Z19-Z21</x:f>
        <x:v>1987668.7624288015</x:v>
      </x:c>
      <x:c r="AA22" s="100" t="n">
        <x:f>AA19-AA21</x:f>
        <x:v>1954468.1916863893</x:v>
      </x:c>
      <x:c r="AB22" s="100" t="n">
        <x:f>AB19-AB21</x:f>
        <x:v>2415830.9195348374</x:v>
      </x:c>
      <x:c r="AC22" s="100" t="n">
        <x:f>AC19-AC21</x:f>
        <x:v>2618407.4699513945</x:v>
      </x:c>
      <x:c r="AD22" s="100" t="n">
        <x:f>AD19-AD21</x:f>
        <x:v>3060136.928814916</x:v>
      </x:c>
      <x:c r="AE22" s="100" t="n">
        <x:f>AE19-AE21</x:f>
        <x:v>3746745.7508856333</x:v>
      </x:c>
      <x:c r="AF22" s="100" t="n">
        <x:f>AF19-AF21</x:f>
        <x:v>4488267.214765489</x:v>
      </x:c>
      <x:c r="AG22" s="100" t="n">
        <x:f>AG19-AG21</x:f>
        <x:v>4117705.8964850423</x:v>
      </x:c>
      <x:c r="AH22" s="100" t="n">
        <x:f>AH19-AH21</x:f>
        <x:v>3193598.4384071855</x:v>
      </x:c>
      <x:c r="AI22" s="100" t="n">
        <x:f>AI19-AI21</x:f>
        <x:v>2828667.9596841484</x:v>
      </x:c>
      <x:c r="AJ22" s="100" t="n">
        <x:f>AJ19-AJ21</x:f>
        <x:v>2313936.2774011255</x:v>
      </x:c>
      <x:c r="AK22" s="100" t="n">
        <x:f>AK19-AK21</x:f>
        <x:v>3684013.8742619194</x:v>
      </x:c>
      <x:c r="AL22" s="80"/>
      <x:c r="AM22" s="80"/>
      <x:c r="AN22" s="80"/>
      <x:c r="AO22" s="80"/>
      <x:c r="AP22" s="80"/>
      <x:c r="AQ22" s="80"/>
      <x:c r="AR22" s="80"/>
      <x:c r="AS22" s="80"/>
      <x:c r="AT22" s="80"/>
      <x:c r="AU22" s="80"/>
      <x:c r="AV22" s="80"/>
      <x:c r="AW22" s="80"/>
      <x:c r="AX22" s="80"/>
      <x:c r="AY22" s="80"/>
      <x:c r="AZ22" s="80"/>
    </x:row>
    <x:row r="23">
      <x:c r="A23" s="108" t="str">
        <x:v>Постоянный OPEX</x:v>
      </x:c>
      <x:c r="B23" s="109" t="n">
        <x:v>1706959.4600744874</x:v>
      </x:c>
      <x:c r="C23" s="109" t="n">
        <x:v>1719618.012813309</x:v>
      </x:c>
      <x:c r="D23" s="109" t="n">
        <x:v>1756412.7895731565</x:v>
      </x:c>
      <x:c r="E23" s="109" t="n">
        <x:v>1752836.2911439273</x:v>
      </x:c>
      <x:c r="F23" s="109" t="n">
        <x:v>1752503.8604392945</x:v>
      </x:c>
      <x:c r="G23" s="109" t="n">
        <x:v>1765905.0801995636</x:v>
      </x:c>
      <x:c r="H23" s="109" t="n">
        <x:v>1794940.4830700364</x:v>
      </x:c>
      <x:c r="I23" s="109" t="n">
        <x:v>1781672.4126786182</x:v>
      </x:c>
      <x:c r="J23" s="109" t="n">
        <x:v>1766572.1420808726</x:v>
      </x:c>
      <x:c r="K23" s="109" t="n">
        <x:v>1794913.7278569744</x:v>
      </x:c>
      <x:c r="L23" s="109" t="n">
        <x:v>1795254.512285091</x:v>
      </x:c>
      <x:c r="M23" s="109" t="n">
        <x:v>1922618.026293171</x:v>
      </x:c>
      <x:c r="N23" s="109" t="n">
        <x:v>1911948.9935636474</x:v>
      </x:c>
      <x:c r="O23" s="109" t="n">
        <x:v>1888958.3175460915</x:v>
      </x:c>
      <x:c r="P23" s="109" t="n">
        <x:v>1921815.8007819275</x:v>
      </x:c>
      <x:c r="Q23" s="109" t="n">
        <x:v>1895087.2947670089</x:v>
      </x:c>
      <x:c r="R23" s="109" t="n">
        <x:v>1877368.1038356042</x:v>
      </x:c>
      <x:c r="S23" s="109" t="n">
        <x:v>1879036.1145324903</x:v>
      </x:c>
      <x:c r="T23" s="109" t="n">
        <x:v>1909962.767082545</x:v>
      </x:c>
      <x:c r="U23" s="109" t="n">
        <x:v>1895961.4915775904</x:v>
      </x:c>
      <x:c r="V23" s="109" t="n">
        <x:v>1880696.3621734635</x:v>
      </x:c>
      <x:c r="W23" s="109" t="n">
        <x:v>1913081.8151366462</x:v>
      </x:c>
      <x:c r="X23" s="109" t="n">
        <x:v>1915110.7242446253</x:v>
      </x:c>
      <x:c r="Y23" s="109" t="n">
        <x:v>2052222.851838808</x:v>
      </x:c>
      <x:c r="Z23" s="109" t="n">
        <x:v>2038328.875179725</x:v>
      </x:c>
      <x:c r="AA23" s="109" t="n">
        <x:v>2012460.349602661</x:v>
      </x:c>
      <x:c r="AB23" s="109" t="n">
        <x:v>2047373.8468307126</x:v>
      </x:c>
      <x:c r="AC23" s="109" t="n">
        <x:v>2017257.5368438682</x:v>
      </x:c>
      <x:c r="AD23" s="109" t="n">
        <x:v>1996878.1635536219</x:v>
      </x:c>
      <x:c r="AE23" s="109" t="n">
        <x:v>1997612.0950272477</x:v>
      </x:c>
      <x:c r="AF23" s="109" t="n">
        <x:v>2030496.1427026007</x:v>
      </x:c>
      <x:c r="AG23" s="109" t="n">
        <x:v>2015718.9526131917</x:v>
      </x:c>
      <x:c r="AH23" s="109" t="n">
        <x:v>2000195.975094845</x:v>
      </x:c>
      <x:c r="AI23" s="109" t="n">
        <x:v>2036520.1181884683</x:v>
      </x:c>
      <x:c r="AJ23" s="109" t="n">
        <x:v>2040108.0413024386</x:v>
      </x:c>
      <x:c r="AK23" s="109" t="n">
        <x:v>2187188.695516654</x:v>
      </x:c>
      <x:c r="AL23" s="80"/>
      <x:c r="AM23" s="80"/>
      <x:c r="AN23" s="80"/>
      <x:c r="AO23" s="80"/>
      <x:c r="AP23" s="80"/>
      <x:c r="AQ23" s="80"/>
      <x:c r="AR23" s="80"/>
      <x:c r="AS23" s="80"/>
      <x:c r="AT23" s="80"/>
      <x:c r="AU23" s="80"/>
      <x:c r="AV23" s="80"/>
      <x:c r="AW23" s="80"/>
      <x:c r="AX23" s="80"/>
      <x:c r="AY23" s="80"/>
      <x:c r="AZ23" s="80"/>
    </x:row>
    <x:row r="24">
      <x:c r="A24" s="99" t="str">
        <x:v>TOTAL OPEX</x:v>
      </x:c>
      <x:c r="B24" s="100" t="n">
        <x:f>B21+B23</x:f>
        <x:v>2181386.824548996</x:v>
      </x:c>
      <x:c r="C24" s="100" t="n">
        <x:f>C21+C23</x:f>
        <x:v>2267637.7716373</x:v>
      </x:c>
      <x:c r="D24" s="100" t="n">
        <x:f>D21+D23</x:f>
        <x:v>2475937.9205132783</x:v>
      </x:c>
      <x:c r="E24" s="100" t="n">
        <x:f>E21+E23</x:f>
        <x:v>2584231.3336977595</x:v>
      </x:c>
      <x:c r="F24" s="100" t="n">
        <x:f>F21+F23</x:f>
        <x:v>2773633.836847943</x:v>
      </x:c>
      <x:c r="G24" s="100" t="n">
        <x:f>G21+G23</x:f>
        <x:v>3018345.75296466</x:v>
      </x:c>
      <x:c r="H24" s="100" t="n">
        <x:f>H21+H23</x:f>
        <x:v>3244263.661273892</x:v>
      </x:c>
      <x:c r="I24" s="100" t="n">
        <x:f>I21+I23</x:f>
        <x:v>3132918.7479012655</x:v>
      </x:c>
      <x:c r="J24" s="100" t="n">
        <x:f>J21+J23</x:f>
        <x:v>2875062.607299499</x:v>
      </x:c>
      <x:c r="K24" s="100" t="n">
        <x:f>K21+K23</x:f>
        <x:v>2805212.239306314</x:v>
      </x:c>
      <x:c r="L24" s="100" t="n">
        <x:f>L21+L23</x:f>
        <x:v>2646815.4738181806</x:v>
      </x:c>
      <x:c r="M24" s="100" t="n">
        <x:f>M21+M23</x:f>
        <x:v>3143168.2553166486</x:v>
      </x:c>
      <x:c r="N24" s="100" t="n">
        <x:f>N21+N23</x:f>
        <x:v>2728706.401640449</x:v>
      </x:c>
      <x:c r="O24" s="100" t="n">
        <x:f>O21+O23</x:f>
        <x:v>2682838.1171034174</x:v>
      </x:c>
      <x:c r="P24" s="100" t="n">
        <x:f>P21+P23</x:f>
        <x:v>2886171.727015631</x:v>
      </x:c>
      <x:c r="Q24" s="100" t="n">
        <x:f>Q21+Q23</x:f>
        <x:v>2916372.6003404</x:v>
      </x:c>
      <x:c r="R24" s="100" t="n">
        <x:f>R21+R23</x:f>
        <x:v>3045369.612918717</x:v>
      </x:c>
      <x:c r="S24" s="100" t="n">
        <x:f>S21+S23</x:f>
        <x:v>3230341.9141676705</x:v>
      </x:c>
      <x:c r="T24" s="100" t="n">
        <x:f>T21+T23</x:f>
        <x:v>3469815.2890987797</x:v>
      </x:c>
      <x:c r="U24" s="100" t="n">
        <x:f>U21+U23</x:f>
        <x:v>3352713.8354387516</x:v>
      </x:c>
      <x:c r="V24" s="100" t="n">
        <x:f>V21+V23</x:f>
        <x:v>3080323.996261807</x:v>
      </x:c>
      <x:c r="W24" s="100" t="n">
        <x:f>W21+W23</x:f>
        <x:v>3010738.81603561</x:v>
      </x:c>
      <x:c r="X24" s="100" t="n">
        <x:f>X21+X23</x:f>
        <x:v>2844893.5614085793</x:v>
      </x:c>
      <x:c r="Y24" s="100" t="n">
        <x:f>Y21+Y23</x:f>
        <x:v>3372258.071496371</x:v>
      </x:c>
      <x:c r="Z24" s="100" t="n">
        <x:f>Z21+Z23</x:f>
        <x:v>2925357.4113921737</x:v>
      </x:c>
      <x:c r="AA24" s="100" t="n">
        <x:f>AA21+AA23</x:f>
        <x:v>2872389.5849093217</x:v>
      </x:c>
      <x:c r="AB24" s="100" t="n">
        <x:f>AB21+AB23</x:f>
        <x:v>3088863.0518915034</x:v>
      </x:c>
      <x:c r="AC24" s="100" t="n">
        <x:f>AC21+AC23</x:f>
        <x:v>3117532.9967858847</x:v>
      </x:c>
      <x:c r="AD24" s="100" t="n">
        <x:f>AD21+AD23</x:f>
        <x:v>3251903.183794791</x:v>
      </x:c>
      <x:c r="AE24" s="100" t="n">
        <x:f>AE21+AE23</x:f>
        <x:v>3444573.6977439886</x:v>
      </x:c>
      <x:c r="AF24" s="100" t="n">
        <x:f>AF21+AF23</x:f>
        <x:v>3697849.475487147</x:v>
      </x:c>
      <x:c r="AG24" s="100" t="n">
        <x:f>AG21+AG23</x:f>
        <x:v>3574754.5492377295</x:v>
      </x:c>
      <x:c r="AH24" s="100" t="n">
        <x:f>AH21+AH23</x:f>
        <x:v>3287495.2166799027</x:v>
      </x:c>
      <x:c r="AI24" s="100" t="n">
        <x:f>AI21+AI23</x:f>
        <x:v>3217706.2992677176</x:v>
      </x:c>
      <x:c r="AJ24" s="100" t="n">
        <x:f>AJ21+AJ23</x:f>
        <x:v>3044183.4349732324</x:v>
      </x:c>
      <x:c r="AK24" s="100" t="n">
        <x:f>AK21+AK23</x:f>
        <x:v>3603205.2718124227</x:v>
      </x:c>
      <x:c r="AL24" s="80"/>
      <x:c r="AM24" s="80"/>
      <x:c r="AN24" s="80"/>
      <x:c r="AO24" s="80"/>
      <x:c r="AP24" s="80"/>
      <x:c r="AQ24" s="80"/>
      <x:c r="AR24" s="80"/>
      <x:c r="AS24" s="80"/>
      <x:c r="AT24" s="80"/>
      <x:c r="AU24" s="80"/>
      <x:c r="AV24" s="80"/>
      <x:c r="AW24" s="80"/>
      <x:c r="AX24" s="80"/>
      <x:c r="AY24" s="80"/>
      <x:c r="AZ24" s="80"/>
    </x:row>
    <x:row r="25">
      <x:c r="A25" s="99" t="str">
        <x:v>EBITDA</x:v>
      </x:c>
      <x:c r="B25" s="100" t="n">
        <x:f>B19-B24</x:f>
        <x:v>-668211.295824632</x:v>
      </x:c>
      <x:c r="C25" s="100" t="n">
        <x:f>C19-C24</x:f>
        <x:v>-500331.5559718455</x:v>
      </x:c>
      <x:c r="D25" s="100" t="n">
        <x:f>D19-D24</x:f>
        <x:v>-120704.4418554604</x:v>
      </x:c>
      <x:c r="E25" s="100" t="n">
        <x:f>E19-E24</x:f>
        <x:v>187394.92349860398</x:v>
      </x:c>
      <x:c r="F25" s="100" t="n">
        <x:f>F19-F24</x:f>
        <x:v>690024.8101167837</x:v>
      </x:c>
      <x:c r="G25" s="100" t="n">
        <x:f>G19-G24</x:f>
        <x:v>1415507.4570135218</x:v>
      </x:c>
      <x:c r="H25" s="100" t="n">
        <x:f>H19-H24</x:f>
        <x:v>2031783.032227925</x:v>
      </x:c>
      <x:c r="I25" s="100" t="n">
        <x:f>I19-I24</x:f>
        <x:v>1719103.636029643</x:v>
      </x:c>
      <x:c r="J25" s="100" t="n">
        <x:f>J19-J24</x:f>
        <x:v>931768.2467441373</x:v>
      </x:c>
      <x:c r="K25" s="100" t="n">
        <x:f>K19-K24</x:f>
        <x:v>579617.6535424134</x:v>
      </x:c>
      <x:c r="L25" s="100" t="n">
        <x:f>L19-L24</x:f>
        <x:v>131369.39043636434</x:v>
      </x:c>
      <x:c r="M25" s="100" t="n">
        <x:f>M19-M24</x:f>
        <x:v>1192312.284341897</x:v>
      </x:c>
      <x:c r="N25" s="100" t="n">
        <x:f>N19-N24</x:f>
        <x:v>-98074.33070807764</x:v>
      </x:c>
      <x:c r="O25" s="100" t="n">
        <x:f>O19-O24</x:f>
        <x:v>-100795.58479883522</x:v>
      </x:c>
      <x:c r="P25" s="100" t="n">
        <x:f>P19-P24</x:f>
        <x:v>294860.04108075146</x:v>
      </x:c>
      <x:c r="Q25" s="100" t="n">
        <x:f>Q19-Q24</x:f>
        <x:v>513110.251010037</x:v>
      </x:c>
      <x:c r="R25" s="100" t="n">
        <x:f>R19-R24</x:f>
        <x:v>944305.477611491</x:v>
      </x:c>
      <x:c r="S25" s="100" t="n">
        <x:f>S19-S24</x:f>
        <x:v>1587169.60445684</x:v>
      </x:c>
      <x:c r="T25" s="100" t="n">
        <x:f>T19-T24</x:f>
        <x:v>2249256.604428457</x:v>
      </x:c>
      <x:c r="U25" s="100" t="n">
        <x:f>U19-U24</x:f>
        <x:v>1915326.5859407755</x:v>
      </x:c>
      <x:c r="V25" s="100" t="n">
        <x:f>V19-V24</x:f>
        <x:v>1067787.9749113563</x:v>
      </x:c>
      <x:c r="W25" s="100" t="n">
        <x:f>W19-W24</x:f>
        <x:v>691465.9557966958</x:v>
      </x:c>
      <x:c r="X25" s="100" t="n">
        <x:f>X19-X24</x:f>
        <x:v>208308.06832269346</x:v>
      </x:c>
      <x:c r="Y25" s="100" t="n">
        <x:f>Y19-Y24</x:f>
        <x:v>1349748.172694034</x:v>
      </x:c>
      <x:c r="Z25" s="100" t="n">
        <x:f>Z19-Z24</x:f>
        <x:v>-50660.11275092373</x:v>
      </x:c>
      <x:c r="AA25" s="100" t="n">
        <x:f>AA19-AA24</x:f>
        <x:v>-57992.15791627159</x:v>
      </x:c>
      <x:c r="AB25" s="100" t="n">
        <x:f>AB19-AB24</x:f>
        <x:v>368457.07270412473</x:v>
      </x:c>
      <x:c r="AC25" s="100" t="n">
        <x:f>AC19-AC24</x:f>
        <x:v>601149.933107526</x:v>
      </x:c>
      <x:c r="AD25" s="100" t="n">
        <x:f>AD19-AD24</x:f>
        <x:v>1063258.7652612943</x:v>
      </x:c>
      <x:c r="AE25" s="100" t="n">
        <x:f>AE19-AE24</x:f>
        <x:v>1749133.6558583854</x:v>
      </x:c>
      <x:c r="AF25" s="100" t="n">
        <x:f>AF19-AF24</x:f>
        <x:v>2457771.0720628886</x:v>
      </x:c>
      <x:c r="AG25" s="100" t="n">
        <x:f>AG19-AG24</x:f>
        <x:v>2101986.9438718506</x:v>
      </x:c>
      <x:c r="AH25" s="100" t="n">
        <x:f>AH19-AH24</x:f>
        <x:v>1193402.46331234</x:v>
      </x:c>
      <x:c r="AI25" s="100" t="n">
        <x:f>AI19-AI24</x:f>
        <x:v>792147.8414956802</x:v>
      </x:c>
      <x:c r="AJ25" s="100" t="n">
        <x:f>AJ19-AJ24</x:f>
        <x:v>273828.2360986867</x:v>
      </x:c>
      <x:c r="AK25" s="100" t="n">
        <x:f>AK19-AK24</x:f>
        <x:v>1496825.1787452656</x:v>
      </x:c>
      <x:c r="AL25" s="80"/>
      <x:c r="AM25" s="80"/>
      <x:c r="AN25" s="80"/>
      <x:c r="AO25" s="80"/>
      <x:c r="AP25" s="80"/>
      <x:c r="AQ25" s="80"/>
      <x:c r="AR25" s="80"/>
      <x:c r="AS25" s="80"/>
      <x:c r="AT25" s="80"/>
      <x:c r="AU25" s="80"/>
      <x:c r="AV25" s="80"/>
      <x:c r="AW25" s="80"/>
      <x:c r="AX25" s="80"/>
      <x:c r="AY25" s="80"/>
      <x:c r="AZ25" s="80"/>
    </x:row>
    <x:row r="26">
      <x:c r="A26" s="80" t="str">
        <x:v>Налог proxy</x:v>
      </x:c>
      <x:c r="B26" s="98" t="n">
        <x:v>15131.755287243637</x:v>
      </x:c>
      <x:c r="C26" s="98" t="n">
        <x:v>17673.062156654545</x:v>
      </x:c>
      <x:c r="D26" s="98" t="n">
        <x:v>23552.334786578183</x:v>
      </x:c>
      <x:c r="E26" s="98" t="n">
        <x:v>28109.238524790595</x:v>
      </x:c>
      <x:c r="F26" s="98" t="n">
        <x:v>103503.72151751755</x:v>
      </x:c>
      <x:c r="G26" s="98" t="n">
        <x:v>212326.11855202826</x:v>
      </x:c>
      <x:c r="H26" s="98" t="n">
        <x:v>304767.45483418874</x:v>
      </x:c>
      <x:c r="I26" s="98" t="n">
        <x:v>257865.54540444643</x:v>
      </x:c>
      <x:c r="J26" s="98" t="n">
        <x:v>139765.23701162057</x:v>
      </x:c>
      <x:c r="K26" s="98" t="n">
        <x:v>86942.648031362</x:v>
      </x:c>
      <x:c r="L26" s="98" t="n">
        <x:v>27781.848642545454</x:v>
      </x:c>
      <x:c r="M26" s="98" t="n">
        <x:v>178846.84265128453</x:v>
      </x:c>
      <x:c r="N26" s="98" t="n">
        <x:v>26306.32070932371</x:v>
      </x:c>
      <x:c r="O26" s="98" t="n">
        <x:v>25820.425323045823</x:v>
      </x:c>
      <x:c r="P26" s="98" t="n">
        <x:v>44229.00616211272</x:v>
      </x:c>
      <x:c r="Q26" s="98" t="n">
        <x:v>76966.53765150555</x:v>
      </x:c>
      <x:c r="R26" s="98" t="n">
        <x:v>141645.82164172357</x:v>
      </x:c>
      <x:c r="S26" s="98" t="n">
        <x:v>238075.440668526</x:v>
      </x:c>
      <x:c r="T26" s="98" t="n">
        <x:v>337388.49066426844</x:v>
      </x:c>
      <x:c r="U26" s="98" t="n">
        <x:v>287298.9878911163</x:v>
      </x:c>
      <x:c r="V26" s="98" t="n">
        <x:v>160168.19623670346</x:v>
      </x:c>
      <x:c r="W26" s="98" t="n">
        <x:v>103719.89336950444</x:v>
      </x:c>
      <x:c r="X26" s="98" t="n">
        <x:v>31246.21024840402</x:v>
      </x:c>
      <x:c r="Y26" s="98" t="n">
        <x:v>202462.22590410494</x:v>
      </x:c>
      <x:c r="Z26" s="98" t="n">
        <x:v>28746.972986412497</x:v>
      </x:c>
      <x:c r="AA26" s="98" t="n">
        <x:v>28143.974269930502</x:v>
      </x:c>
      <x:c r="AB26" s="98" t="n">
        <x:v>55268.56090561871</x:v>
      </x:c>
      <x:c r="AC26" s="98" t="n">
        <x:v>90172.48996612891</x:v>
      </x:c>
      <x:c r="AD26" s="98" t="n">
        <x:v>159488.81478919415</x:v>
      </x:c>
      <x:c r="AE26" s="98" t="n">
        <x:v>262370.04837875767</x:v>
      </x:c>
      <x:c r="AF26" s="98" t="n">
        <x:v>368665.66080943315</x:v>
      </x:c>
      <x:c r="AG26" s="98" t="n">
        <x:v>315298.04158077756</x:v>
      </x:c>
      <x:c r="AH26" s="98" t="n">
        <x:v>179010.369496851</x:v>
      </x:c>
      <x:c r="AI26" s="98" t="n">
        <x:v>118822.17622435202</x:v>
      </x:c>
      <x:c r="AJ26" s="98" t="n">
        <x:v>41074.23541480307</x:v>
      </x:c>
      <x:c r="AK26" s="98" t="n">
        <x:v>224523.77681178984</x:v>
      </x:c>
      <x:c r="AL26" s="80"/>
      <x:c r="AM26" s="80"/>
      <x:c r="AN26" s="80"/>
      <x:c r="AO26" s="80"/>
      <x:c r="AP26" s="80"/>
      <x:c r="AQ26" s="80"/>
      <x:c r="AR26" s="80"/>
      <x:c r="AS26" s="80"/>
      <x:c r="AT26" s="80"/>
      <x:c r="AU26" s="80"/>
      <x:c r="AV26" s="80"/>
      <x:c r="AW26" s="80"/>
      <x:c r="AX26" s="80"/>
      <x:c r="AY26" s="80"/>
      <x:c r="AZ26" s="80"/>
    </x:row>
    <x:row r="27">
      <x:c r="A27" s="80" t="str">
        <x:v>Maintenance CAPEX</x:v>
      </x:c>
      <x:c r="B27" s="98" t="n">
        <x:f>B19*3%</x:f>
        <x:v>45395.26586173092</x:v>
      </x:c>
      <x:c r="C27" s="98" t="n">
        <x:f>C19*3%</x:f>
        <x:v>53019.186469963635</x:v>
      </x:c>
      <x:c r="D27" s="98" t="n">
        <x:f>D19*3%</x:f>
        <x:v>70657.00435973454</x:v>
      </x:c>
      <x:c r="E27" s="98" t="n">
        <x:f>E19*3%</x:f>
        <x:v>83148.7877158909</x:v>
      </x:c>
      <x:c r="F27" s="98" t="n">
        <x:f>F19*3%</x:f>
        <x:v>103909.7594089418</x:v>
      </x:c>
      <x:c r="G27" s="98" t="n">
        <x:f>G19*3%</x:f>
        <x:v>133015.59629934546</x:v>
      </x:c>
      <x:c r="H27" s="98" t="n">
        <x:f>H19*3%</x:f>
        <x:v>158281.4008050545</x:v>
      </x:c>
      <x:c r="I27" s="98" t="n">
        <x:f>I19*3%</x:f>
        <x:v>145560.67151792726</x:v>
      </x:c>
      <x:c r="J27" s="98" t="n">
        <x:f>J19*3%</x:f>
        <x:v>114204.92562130908</x:v>
      </x:c>
      <x:c r="K27" s="98" t="n">
        <x:f>K19*3%</x:f>
        <x:v>101544.89678546181</x:v>
      </x:c>
      <x:c r="L27" s="98" t="n">
        <x:f>L19*3%</x:f>
        <x:v>83345.54592763634</x:v>
      </x:c>
      <x:c r="M27" s="98" t="n">
        <x:f>M19*3%</x:f>
        <x:v>130064.41618975636</x:v>
      </x:c>
      <x:c r="N27" s="98" t="n">
        <x:f>N19*3%</x:f>
        <x:v>78918.96212797114</x:v>
      </x:c>
      <x:c r="O27" s="98" t="n">
        <x:f>O19*3%</x:f>
        <x:v>77461.27596913747</x:v>
      </x:c>
      <x:c r="P27" s="98" t="n">
        <x:f>P19*3%</x:f>
        <x:v>95430.95304289146</x:v>
      </x:c>
      <x:c r="Q27" s="98" t="n">
        <x:f>Q19*3%</x:f>
        <x:v>102884.48554051311</x:v>
      </x:c>
      <x:c r="R27" s="98" t="n">
        <x:f>R19*3%</x:f>
        <x:v>119690.25271590623</x:v>
      </x:c>
      <x:c r="S27" s="98" t="n">
        <x:f>S19*3%</x:f>
        <x:v>144525.3455587353</x:v>
      </x:c>
      <x:c r="T27" s="98" t="n">
        <x:f>T19*3%</x:f>
        <x:v>171572.1568058171</x:v>
      </x:c>
      <x:c r="U27" s="98" t="n">
        <x:f>U19*3%</x:f>
        <x:v>158041.21264138582</x:v>
      </x:c>
      <x:c r="V27" s="98" t="n">
        <x:f>V19*3%</x:f>
        <x:v>124443.3591351949</x:v>
      </x:c>
      <x:c r="W27" s="98" t="n">
        <x:f>W19*3%</x:f>
        <x:v>111066.14315496918</x:v>
      </x:c>
      <x:c r="X27" s="98" t="n">
        <x:f>X19*3%</x:f>
        <x:v>91596.04889193818</x:v>
      </x:c>
      <x:c r="Y27" s="98" t="n">
        <x:f>Y19*3%</x:f>
        <x:v>141660.18732571215</x:v>
      </x:c>
      <x:c r="Z27" s="98" t="n">
        <x:f>Z19*3%</x:f>
        <x:v>86240.9189592375</x:v>
      </x:c>
      <x:c r="AA27" s="98" t="n">
        <x:f>AA19*3%</x:f>
        <x:v>84431.9228097915</x:v>
      </x:c>
      <x:c r="AB27" s="98" t="n">
        <x:f>AB19*3%</x:f>
        <x:v>103719.60373786883</x:v>
      </x:c>
      <x:c r="AC27" s="98" t="n">
        <x:f>AC19*3%</x:f>
        <x:v>111560.48789680233</x:v>
      </x:c>
      <x:c r="AD27" s="98" t="n">
        <x:f>AD19*3%</x:f>
        <x:v>129454.85847168256</x:v>
      </x:c>
      <x:c r="AE27" s="98" t="n">
        <x:f>AE19*3%</x:f>
        <x:v>155811.22060807122</x:v>
      </x:c>
      <x:c r="AF27" s="98" t="n">
        <x:f>AF19*3%</x:f>
        <x:v>184668.61642650107</x:v>
      </x:c>
      <x:c r="AG27" s="98" t="n">
        <x:f>AG19*3%</x:f>
        <x:v>170302.2447932874</x:v>
      </x:c>
      <x:c r="AH27" s="98" t="n">
        <x:f>AH19*3%</x:f>
        <x:v>134426.93039976727</x:v>
      </x:c>
      <x:c r="AI27" s="98" t="n">
        <x:f>AI19*3%</x:f>
        <x:v>120295.62422290193</x:v>
      </x:c>
      <x:c r="AJ27" s="98" t="n">
        <x:f>AJ19*3%</x:f>
        <x:v>99540.35013215757</x:v>
      </x:c>
      <x:c r="AK27" s="98" t="n">
        <x:f>AK19*3%</x:f>
        <x:v>153000.91351673065</x:v>
      </x:c>
      <x:c r="AL27" s="80"/>
      <x:c r="AM27" s="80"/>
      <x:c r="AN27" s="80"/>
      <x:c r="AO27" s="80"/>
      <x:c r="AP27" s="80"/>
      <x:c r="AQ27" s="80"/>
      <x:c r="AR27" s="80"/>
      <x:c r="AS27" s="80"/>
      <x:c r="AT27" s="80"/>
      <x:c r="AU27" s="80"/>
      <x:c r="AV27" s="80"/>
      <x:c r="AW27" s="80"/>
      <x:c r="AX27" s="80"/>
      <x:c r="AY27" s="80"/>
      <x:c r="AZ27" s="80"/>
    </x:row>
    <x:row r="28">
      <x:c r="A28" s="99" t="str">
        <x:v>OPERATING CASH FLOW</x:v>
      </x:c>
      <x:c r="B28" s="100" t="n">
        <x:f>B25-B26-B27</x:f>
        <x:v>-728738.3169736066</x:v>
      </x:c>
      <x:c r="C28" s="100" t="n">
        <x:f>C25-C26-C27</x:f>
        <x:v>-571023.8045984637</x:v>
      </x:c>
      <x:c r="D28" s="100" t="n">
        <x:f>D25-D26-D27</x:f>
        <x:v>-214913.78100177314</x:v>
      </x:c>
      <x:c r="E28" s="100" t="n">
        <x:f>E25-E26-E27</x:f>
        <x:v>76136.8972579225</x:v>
      </x:c>
      <x:c r="F28" s="100" t="n">
        <x:f>F25-F26-F27</x:f>
        <x:v>482611.32919032435</x:v>
      </x:c>
      <x:c r="G28" s="100" t="n">
        <x:f>G25-G26-G27</x:f>
        <x:v>1070165.7421621482</x:v>
      </x:c>
      <x:c r="H28" s="100" t="n">
        <x:f>H25-H26-H27</x:f>
        <x:v>1568734.1765886818</x:v>
      </x:c>
      <x:c r="I28" s="100" t="n">
        <x:f>I25-I26-I27</x:f>
        <x:v>1315677.4191072695</x:v>
      </x:c>
      <x:c r="J28" s="100" t="n">
        <x:f>J25-J26-J27</x:f>
        <x:v>677798.0841112076</x:v>
      </x:c>
      <x:c r="K28" s="100" t="n">
        <x:f>K25-K26-K27</x:f>
        <x:v>391130.1087255896</x:v>
      </x:c>
      <x:c r="L28" s="100" t="n">
        <x:f>L25-L26-L27</x:f>
        <x:v>20241.995866182537</x:v>
      </x:c>
      <x:c r="M28" s="100" t="n">
        <x:f>M25-M26-M27</x:f>
        <x:v>883401.025500856</x:v>
      </x:c>
      <x:c r="N28" s="100" t="n">
        <x:f>N25-N26-N27</x:f>
        <x:v>-203299.6135453725</x:v>
      </x:c>
      <x:c r="O28" s="100" t="n">
        <x:f>O25-O26-O27</x:f>
        <x:v>-204077.28609101853</x:v>
      </x:c>
      <x:c r="P28" s="100" t="n">
        <x:f>P25-P26-P27</x:f>
        <x:v>155200.08187574727</x:v>
      </x:c>
      <x:c r="Q28" s="100" t="n">
        <x:f>Q25-Q26-Q27</x:f>
        <x:v>333259.22781801835</x:v>
      </x:c>
      <x:c r="R28" s="100" t="n">
        <x:f>R25-R26-R27</x:f>
        <x:v>682969.4032538611</x:v>
      </x:c>
      <x:c r="S28" s="100" t="n">
        <x:f>S25-S26-S27</x:f>
        <x:v>1204568.8182295787</x:v>
      </x:c>
      <x:c r="T28" s="100" t="n">
        <x:f>T25-T26-T27</x:f>
        <x:v>1740295.9569583717</x:v>
      </x:c>
      <x:c r="U28" s="100" t="n">
        <x:f>U25-U26-U27</x:f>
        <x:v>1469986.3854082734</x:v>
      </x:c>
      <x:c r="V28" s="100" t="n">
        <x:f>V25-V26-V27</x:f>
        <x:v>783176.419539458</x:v>
      </x:c>
      <x:c r="W28" s="100" t="n">
        <x:f>W25-W26-W27</x:f>
        <x:v>476679.9192722221</x:v>
      </x:c>
      <x:c r="X28" s="100" t="n">
        <x:f>X25-X26-X27</x:f>
        <x:v>85465.80918235128</x:v>
      </x:c>
      <x:c r="Y28" s="100" t="n">
        <x:f>Y25-Y26-Y27</x:f>
        <x:v>1005625.7594642168</x:v>
      </x:c>
      <x:c r="Z28" s="100" t="n">
        <x:f>Z25-Z26-Z27</x:f>
        <x:v>-165648.0046965737</x:v>
      </x:c>
      <x:c r="AA28" s="100" t="n">
        <x:f>AA25-AA26-AA27</x:f>
        <x:v>-170568.05499599362</x:v>
      </x:c>
      <x:c r="AB28" s="100" t="n">
        <x:f>AB25-AB26-AB27</x:f>
        <x:v>209468.9080606372</x:v>
      </x:c>
      <x:c r="AC28" s="100" t="n">
        <x:f>AC25-AC26-AC27</x:f>
        <x:v>399416.95524459484</x:v>
      </x:c>
      <x:c r="AD28" s="100" t="n">
        <x:f>AD25-AD26-AD27</x:f>
        <x:v>774315.0920004176</x:v>
      </x:c>
      <x:c r="AE28" s="100" t="n">
        <x:f>AE25-AE26-AE27</x:f>
        <x:v>1330952.3868715565</x:v>
      </x:c>
      <x:c r="AF28" s="100" t="n">
        <x:f>AF25-AF26-AF27</x:f>
        <x:v>1904436.7948269546</x:v>
      </x:c>
      <x:c r="AG28" s="100" t="n">
        <x:f>AG25-AG26-AG27</x:f>
        <x:v>1616386.6574977855</x:v>
      </x:c>
      <x:c r="AH28" s="100" t="n">
        <x:f>AH25-AH26-AH27</x:f>
        <x:v>879965.1634157217</x:v>
      </x:c>
      <x:c r="AI28" s="100" t="n">
        <x:f>AI25-AI26-AI27</x:f>
        <x:v>553030.0410484263</x:v>
      </x:c>
      <x:c r="AJ28" s="100" t="n">
        <x:f>AJ25-AJ26-AJ27</x:f>
        <x:v>133213.65055172605</x:v>
      </x:c>
      <x:c r="AK28" s="100" t="n">
        <x:f>AK25-AK26-AK27</x:f>
        <x:v>1119300.4884167453</x:v>
      </x:c>
      <x:c r="AL28" s="80"/>
      <x:c r="AM28" s="80"/>
      <x:c r="AN28" s="80"/>
      <x:c r="AO28" s="80"/>
      <x:c r="AP28" s="80"/>
      <x:c r="AQ28" s="80"/>
      <x:c r="AR28" s="80"/>
      <x:c r="AS28" s="80"/>
      <x:c r="AT28" s="80"/>
      <x:c r="AU28" s="80"/>
      <x:c r="AV28" s="80"/>
      <x:c r="AW28" s="80"/>
      <x:c r="AX28" s="80"/>
      <x:c r="AY28" s="80"/>
      <x:c r="AZ28" s="80"/>
    </x:row>
  </x:sheetData>
  <x:mergeCells>
    <x:mergeCell ref="A1:AK1"/>
    <x:mergeCell ref="A2:AK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  <x:col min="18" max="18" width="13" hidden="0" customWidth="1"/>
    <x:col min="19" max="19" width="13" hidden="0" customWidth="1"/>
    <x:col min="20" max="20" width="13" hidden="0" customWidth="1"/>
    <x:col min="21" max="21" width="13" hidden="0" customWidth="1"/>
    <x:col min="22" max="22" width="13" hidden="0" customWidth="1"/>
    <x:col min="23" max="23" width="13" hidden="0" customWidth="1"/>
    <x:col min="24" max="24" width="13" hidden="0" customWidth="1"/>
    <x:col min="25" max="25" width="13" hidden="0" customWidth="1"/>
    <x:col min="26" max="26" width="13" hidden="0" customWidth="1"/>
    <x:col min="27" max="27" width="13" hidden="0" customWidth="1"/>
    <x:col min="28" max="28" width="13" hidden="0" customWidth="1"/>
    <x:col min="29" max="29" width="13" hidden="0" customWidth="1"/>
    <x:col min="30" max="30" width="13" hidden="0" customWidth="1"/>
    <x:col min="31" max="31" width="13" hidden="0" customWidth="1"/>
    <x:col min="32" max="32" width="13" hidden="0" customWidth="1"/>
    <x:col min="33" max="33" width="13" hidden="0" customWidth="1"/>
    <x:col min="34" max="34" width="13" hidden="0" customWidth="1"/>
    <x:col min="35" max="35" width="13" hidden="0" customWidth="1"/>
    <x:col min="36" max="36" width="13" hidden="0" customWidth="1"/>
    <x:col min="37" max="37" width="13" hidden="0" customWidth="1"/>
    <x:col min="38" max="38" width="13" hidden="0" customWidth="1"/>
    <x:col min="39" max="39" width="13" hidden="0" customWidth="1"/>
    <x:col min="40" max="40" width="13" hidden="0" customWidth="1"/>
    <x:col min="41" max="41" width="13" hidden="0" customWidth="1"/>
    <x:col min="42" max="42" width="13" hidden="0" customWidth="1"/>
    <x:col min="43" max="43" width="13" hidden="0" customWidth="1"/>
    <x:col min="44" max="44" width="13" hidden="0" customWidth="1"/>
    <x:col min="45" max="45" width="13" hidden="0" customWidth="1"/>
    <x:col min="46" max="46" width="13" hidden="0" customWidth="1"/>
    <x:col min="47" max="47" width="13" hidden="0" customWidth="1"/>
    <x:col min="48" max="48" width="13" hidden="0" customWidth="1"/>
    <x:col min="49" max="49" width="13" hidden="0" customWidth="1"/>
  </x:cols>
  <x:sheetData>
    <x:row r="1" ht="32" customHeight="1">
      <x:c r="A1" s="4" t="str">
        <x:v>Cash Flow — Build + 36M Operations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78"/>
      <x:c r="AY1" s="78"/>
      <x:c r="AZ1" s="78"/>
    </x:row>
    <x:row r="2" ht="28" customHeight="1">
      <x:c r="A2" s="79" t="str">
        <x:v>Первые 12 месяцев — застройка, затем 36 месяцев эксплуатации. Финансирование: 100% equity placeholder.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79"/>
      <x:c r="M2" s="79"/>
      <x:c r="N2" s="79"/>
      <x:c r="O2" s="79"/>
      <x:c r="P2" s="79"/>
      <x:c r="Q2" s="79"/>
      <x:c r="R2" s="79"/>
      <x:c r="S2" s="79"/>
      <x:c r="T2" s="79"/>
      <x:c r="U2" s="79"/>
      <x:c r="V2" s="79"/>
      <x:c r="W2" s="79"/>
      <x:c r="X2" s="79"/>
      <x:c r="Y2" s="79"/>
      <x:c r="Z2" s="79"/>
      <x:c r="AA2" s="79"/>
      <x:c r="AB2" s="79"/>
      <x:c r="AC2" s="79"/>
      <x:c r="AD2" s="79"/>
      <x:c r="AE2" s="79"/>
      <x:c r="AF2" s="79"/>
      <x:c r="AG2" s="79"/>
      <x:c r="AH2" s="79"/>
      <x:c r="AI2" s="79"/>
      <x:c r="AJ2" s="79"/>
      <x:c r="AK2" s="79"/>
      <x:c r="AL2" s="79"/>
      <x:c r="AM2" s="79"/>
      <x:c r="AN2" s="79"/>
      <x:c r="AO2" s="79"/>
      <x:c r="AP2" s="79"/>
      <x:c r="AQ2" s="79"/>
      <x:c r="AR2" s="79"/>
      <x:c r="AS2" s="79"/>
      <x:c r="AT2" s="79"/>
      <x:c r="AU2" s="79"/>
      <x:c r="AV2" s="79"/>
      <x:c r="AW2" s="79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>
      <x:c r="A4" s="80"/>
      <x:c r="B4" s="80"/>
      <x:c r="C4" s="80"/>
      <x:c r="D4" s="80"/>
      <x:c r="E4" s="80"/>
      <x:c r="F4" s="80"/>
      <x:c r="G4" s="80"/>
      <x:c r="H4" s="80"/>
      <x:c r="I4" s="80"/>
      <x:c r="J4" s="80"/>
      <x:c r="K4" s="80"/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 ht="26" customHeight="1">
      <x:c r="A5" s="101" t="str">
        <x:v>Показатель</x:v>
      </x:c>
      <x:c r="B5" s="105" t="n">
        <x:v>46388</x:v>
      </x:c>
      <x:c r="C5" s="105" t="n">
        <x:v>46419</x:v>
      </x:c>
      <x:c r="D5" s="105" t="n">
        <x:v>46447</x:v>
      </x:c>
      <x:c r="E5" s="105" t="n">
        <x:v>46478</x:v>
      </x:c>
      <x:c r="F5" s="105" t="n">
        <x:v>46508</x:v>
      </x:c>
      <x:c r="G5" s="105" t="n">
        <x:v>46539</x:v>
      </x:c>
      <x:c r="H5" s="105" t="n">
        <x:v>46569</x:v>
      </x:c>
      <x:c r="I5" s="105" t="n">
        <x:v>46600</x:v>
      </x:c>
      <x:c r="J5" s="105" t="n">
        <x:v>46631</x:v>
      </x:c>
      <x:c r="K5" s="105" t="n">
        <x:v>46661</x:v>
      </x:c>
      <x:c r="L5" s="105" t="n">
        <x:v>46692</x:v>
      </x:c>
      <x:c r="M5" s="105" t="n">
        <x:v>46722</x:v>
      </x:c>
      <x:c r="N5" s="105" t="n">
        <x:v>46753</x:v>
      </x:c>
      <x:c r="O5" s="105" t="n">
        <x:v>46784</x:v>
      </x:c>
      <x:c r="P5" s="105" t="n">
        <x:v>46813</x:v>
      </x:c>
      <x:c r="Q5" s="105" t="n">
        <x:v>46844</x:v>
      </x:c>
      <x:c r="R5" s="105" t="n">
        <x:v>46874</x:v>
      </x:c>
      <x:c r="S5" s="105" t="n">
        <x:v>46905</x:v>
      </x:c>
      <x:c r="T5" s="105" t="n">
        <x:v>46935</x:v>
      </x:c>
      <x:c r="U5" s="105" t="n">
        <x:v>46966</x:v>
      </x:c>
      <x:c r="V5" s="105" t="n">
        <x:v>46997</x:v>
      </x:c>
      <x:c r="W5" s="105" t="n">
        <x:v>47027</x:v>
      </x:c>
      <x:c r="X5" s="105" t="n">
        <x:v>47058</x:v>
      </x:c>
      <x:c r="Y5" s="105" t="n">
        <x:v>47088</x:v>
      </x:c>
      <x:c r="Z5" s="105" t="n">
        <x:v>47119</x:v>
      </x:c>
      <x:c r="AA5" s="105" t="n">
        <x:v>47150</x:v>
      </x:c>
      <x:c r="AB5" s="105" t="n">
        <x:v>47178</x:v>
      </x:c>
      <x:c r="AC5" s="105" t="n">
        <x:v>47209</x:v>
      </x:c>
      <x:c r="AD5" s="105" t="n">
        <x:v>47239</x:v>
      </x:c>
      <x:c r="AE5" s="105" t="n">
        <x:v>47270</x:v>
      </x:c>
      <x:c r="AF5" s="105" t="n">
        <x:v>47300</x:v>
      </x:c>
      <x:c r="AG5" s="105" t="n">
        <x:v>47331</x:v>
      </x:c>
      <x:c r="AH5" s="105" t="n">
        <x:v>47362</x:v>
      </x:c>
      <x:c r="AI5" s="105" t="n">
        <x:v>47392</x:v>
      </x:c>
      <x:c r="AJ5" s="105" t="n">
        <x:v>47423</x:v>
      </x:c>
      <x:c r="AK5" s="105" t="n">
        <x:v>47453</x:v>
      </x:c>
      <x:c r="AL5" s="105" t="n">
        <x:v>47484</x:v>
      </x:c>
      <x:c r="AM5" s="105" t="n">
        <x:v>47515</x:v>
      </x:c>
      <x:c r="AN5" s="105" t="n">
        <x:v>47543</x:v>
      </x:c>
      <x:c r="AO5" s="105" t="n">
        <x:v>47574</x:v>
      </x:c>
      <x:c r="AP5" s="105" t="n">
        <x:v>47604</x:v>
      </x:c>
      <x:c r="AQ5" s="105" t="n">
        <x:v>47635</x:v>
      </x:c>
      <x:c r="AR5" s="105" t="n">
        <x:v>47665</x:v>
      </x:c>
      <x:c r="AS5" s="105" t="n">
        <x:v>47696</x:v>
      </x:c>
      <x:c r="AT5" s="105" t="n">
        <x:v>47727</x:v>
      </x:c>
      <x:c r="AU5" s="105" t="n">
        <x:v>47757</x:v>
      </x:c>
      <x:c r="AV5" s="105" t="n">
        <x:v>47788</x:v>
      </x:c>
      <x:c r="AW5" s="105" t="n">
        <x:v>47818</x:v>
      </x:c>
      <x:c r="AX5" s="80"/>
      <x:c r="AY5" s="80"/>
      <x:c r="AZ5" s="80"/>
    </x:row>
    <x:row r="6">
      <x:c r="A6" s="80"/>
      <x:c r="B6" s="80"/>
      <x:c r="C6" s="80"/>
      <x:c r="D6" s="80"/>
      <x:c r="E6" s="80"/>
      <x:c r="F6" s="80"/>
      <x:c r="G6" s="80"/>
      <x:c r="H6" s="80"/>
      <x:c r="I6" s="80"/>
      <x:c r="J6" s="80"/>
      <x:c r="K6" s="80"/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80" t="str">
        <x:v>Build CAPEX</x:v>
      </x:c>
      <x:c r="B7" s="98" t="n">
        <x:f>-'Build_Schedule'!B$42</x:f>
        <x:v>-7214250.884558401</x:v>
      </x:c>
      <x:c r="C7" s="98" t="n">
        <x:f>-'Build_Schedule'!C$42</x:f>
        <x:v>-7284250.884558401</x:v>
      </x:c>
      <x:c r="D7" s="98" t="n">
        <x:f>-'Build_Schedule'!D$42</x:f>
        <x:v>-6626841.610095921</x:v>
      </x:c>
      <x:c r="E7" s="98" t="n">
        <x:f>-'Build_Schedule'!E$42</x:f>
        <x:v>-14439432.33563344</x:v>
      </x:c>
      <x:c r="F7" s="98" t="n">
        <x:f>-'Build_Schedule'!F$42</x:f>
        <x:v>-27776660.43617096</x:v>
      </x:c>
      <x:c r="G7" s="98" t="n">
        <x:f>-'Build_Schedule'!G$42</x:f>
        <x:v>-35700151.16170848</x:v>
      </x:c>
      <x:c r="H7" s="98" t="n">
        <x:f>-'Build_Schedule'!H$42</x:f>
        <x:v>-21021604.512246</x:v>
      </x:c>
      <x:c r="I7" s="98" t="n">
        <x:f>-'Build_Schedule'!I$42</x:f>
        <x:v>-14003404.512246</x:v>
      </x:c>
      <x:c r="J7" s="98" t="n">
        <x:f>-'Build_Schedule'!J$42</x:f>
        <x:v>-20531940.106708482</x:v>
      </x:c>
      <x:c r="K7" s="98" t="n">
        <x:f>-'Build_Schedule'!K$42</x:f>
        <x:v>-17180258.655633442</x:v>
      </x:c>
      <x:c r="L7" s="98" t="n">
        <x:f>-'Build_Schedule'!L$42</x:f>
        <x:v>-4640546.247327161</x:v>
      </x:c>
      <x:c r="M7" s="98" t="n">
        <x:f>-'Build_Schedule'!M$42</x:f>
        <x:v>-2122997.23728931</x:v>
      </x:c>
      <x:c r="N7" s="98" t="n">
        <x:f>0</x:f>
        <x:v>0</x:v>
      </x:c>
      <x:c r="O7" s="98" t="n">
        <x:f>0</x:f>
        <x:v>0</x:v>
      </x:c>
      <x:c r="P7" s="98" t="n">
        <x:f>0</x:f>
        <x:v>0</x:v>
      </x:c>
      <x:c r="Q7" s="98" t="n">
        <x:f>0</x:f>
        <x:v>0</x:v>
      </x:c>
      <x:c r="R7" s="98" t="n">
        <x:f>0</x:f>
        <x:v>0</x:v>
      </x:c>
      <x:c r="S7" s="98" t="n">
        <x:f>0</x:f>
        <x:v>0</x:v>
      </x:c>
      <x:c r="T7" s="98" t="n">
        <x:f>0</x:f>
        <x:v>0</x:v>
      </x:c>
      <x:c r="U7" s="98" t="n">
        <x:f>0</x:f>
        <x:v>0</x:v>
      </x:c>
      <x:c r="V7" s="98" t="n">
        <x:f>0</x:f>
        <x:v>0</x:v>
      </x:c>
      <x:c r="W7" s="98" t="n">
        <x:f>0</x:f>
        <x:v>0</x:v>
      </x:c>
      <x:c r="X7" s="98" t="n">
        <x:f>0</x:f>
        <x:v>0</x:v>
      </x:c>
      <x:c r="Y7" s="98" t="n">
        <x:f>0</x:f>
        <x:v>0</x:v>
      </x:c>
      <x:c r="Z7" s="98" t="n">
        <x:f>0</x:f>
        <x:v>0</x:v>
      </x:c>
      <x:c r="AA7" s="98" t="n">
        <x:f>0</x:f>
        <x:v>0</x:v>
      </x:c>
      <x:c r="AB7" s="98" t="n">
        <x:f>0</x:f>
        <x:v>0</x:v>
      </x:c>
      <x:c r="AC7" s="98" t="n">
        <x:f>0</x:f>
        <x:v>0</x:v>
      </x:c>
      <x:c r="AD7" s="98" t="n">
        <x:f>0</x:f>
        <x:v>0</x:v>
      </x:c>
      <x:c r="AE7" s="98" t="n">
        <x:f>0</x:f>
        <x:v>0</x:v>
      </x:c>
      <x:c r="AF7" s="98" t="n">
        <x:f>0</x:f>
        <x:v>0</x:v>
      </x:c>
      <x:c r="AG7" s="98" t="n">
        <x:f>0</x:f>
        <x:v>0</x:v>
      </x:c>
      <x:c r="AH7" s="98" t="n">
        <x:f>0</x:f>
        <x:v>0</x:v>
      </x:c>
      <x:c r="AI7" s="98" t="n">
        <x:f>0</x:f>
        <x:v>0</x:v>
      </x:c>
      <x:c r="AJ7" s="98" t="n">
        <x:f>0</x:f>
        <x:v>0</x:v>
      </x:c>
      <x:c r="AK7" s="98" t="n">
        <x:f>0</x:f>
        <x:v>0</x:v>
      </x:c>
      <x:c r="AL7" s="98" t="n">
        <x:f>0</x:f>
        <x:v>0</x:v>
      </x:c>
      <x:c r="AM7" s="98" t="n">
        <x:f>0</x:f>
        <x:v>0</x:v>
      </x:c>
      <x:c r="AN7" s="98" t="n">
        <x:f>0</x:f>
        <x:v>0</x:v>
      </x:c>
      <x:c r="AO7" s="98" t="n">
        <x:f>0</x:f>
        <x:v>0</x:v>
      </x:c>
      <x:c r="AP7" s="98" t="n">
        <x:f>0</x:f>
        <x:v>0</x:v>
      </x:c>
      <x:c r="AQ7" s="98" t="n">
        <x:f>0</x:f>
        <x:v>0</x:v>
      </x:c>
      <x:c r="AR7" s="98" t="n">
        <x:f>0</x:f>
        <x:v>0</x:v>
      </x:c>
      <x:c r="AS7" s="98" t="n">
        <x:f>0</x:f>
        <x:v>0</x:v>
      </x:c>
      <x:c r="AT7" s="98" t="n">
        <x:f>0</x:f>
        <x:v>0</x:v>
      </x:c>
      <x:c r="AU7" s="98" t="n">
        <x:f>0</x:f>
        <x:v>0</x:v>
      </x:c>
      <x:c r="AV7" s="98" t="n">
        <x:f>0</x:f>
        <x:v>0</x:v>
      </x:c>
      <x:c r="AW7" s="98" t="n">
        <x:f>0</x:f>
        <x:v>0</x:v>
      </x:c>
      <x:c r="AX7" s="80"/>
      <x:c r="AY7" s="80"/>
      <x:c r="AZ7" s="80"/>
    </x:row>
    <x:row r="8">
      <x:c r="A8" s="80" t="str">
        <x:v>Initial working capital</x:v>
      </x:c>
      <x:c r="B8" s="98" t="n">
        <x:f>0</x:f>
        <x:v>0</x:v>
      </x:c>
      <x:c r="C8" s="98" t="n">
        <x:f>0</x:f>
        <x:v>0</x:v>
      </x:c>
      <x:c r="D8" s="98" t="n">
        <x:f>0</x:f>
        <x:v>0</x:v>
      </x:c>
      <x:c r="E8" s="98" t="n">
        <x:f>0</x:f>
        <x:v>0</x:v>
      </x:c>
      <x:c r="F8" s="98" t="n">
        <x:f>0</x:f>
        <x:v>0</x:v>
      </x:c>
      <x:c r="G8" s="98" t="n">
        <x:f>0</x:f>
        <x:v>0</x:v>
      </x:c>
      <x:c r="H8" s="98" t="n">
        <x:f>0</x:f>
        <x:v>0</x:v>
      </x:c>
      <x:c r="I8" s="98" t="n">
        <x:f>0</x:f>
        <x:v>0</x:v>
      </x:c>
      <x:c r="J8" s="98" t="n">
        <x:f>0</x:f>
        <x:v>0</x:v>
      </x:c>
      <x:c r="K8" s="98" t="n">
        <x:f>0</x:f>
        <x:v>0</x:v>
      </x:c>
      <x:c r="L8" s="98" t="n">
        <x:f>0</x:f>
        <x:v>0</x:v>
      </x:c>
      <x:c r="M8" s="98" t="n">
        <x:f>-('Operating_OPEX'!B$39+'Operating_OPEX'!B$48+'Operating_OPEX'!B$61)*'Assumptions'!$B$15</x:f>
        <x:v>-3413918.9201489748</x:v>
      </x:c>
      <x:c r="N8" s="98" t="n">
        <x:f>0</x:f>
        <x:v>0</x:v>
      </x:c>
      <x:c r="O8" s="98" t="n">
        <x:f>0</x:f>
        <x:v>0</x:v>
      </x:c>
      <x:c r="P8" s="98" t="n">
        <x:f>0</x:f>
        <x:v>0</x:v>
      </x:c>
      <x:c r="Q8" s="98" t="n">
        <x:f>0</x:f>
        <x:v>0</x:v>
      </x:c>
      <x:c r="R8" s="98" t="n">
        <x:f>0</x:f>
        <x:v>0</x:v>
      </x:c>
      <x:c r="S8" s="98" t="n">
        <x:f>0</x:f>
        <x:v>0</x:v>
      </x:c>
      <x:c r="T8" s="98" t="n">
        <x:f>0</x:f>
        <x:v>0</x:v>
      </x:c>
      <x:c r="U8" s="98" t="n">
        <x:f>0</x:f>
        <x:v>0</x:v>
      </x:c>
      <x:c r="V8" s="98" t="n">
        <x:f>0</x:f>
        <x:v>0</x:v>
      </x:c>
      <x:c r="W8" s="98" t="n">
        <x:f>0</x:f>
        <x:v>0</x:v>
      </x:c>
      <x:c r="X8" s="98" t="n">
        <x:f>0</x:f>
        <x:v>0</x:v>
      </x:c>
      <x:c r="Y8" s="98" t="n">
        <x:f>0</x:f>
        <x:v>0</x:v>
      </x:c>
      <x:c r="Z8" s="98" t="n">
        <x:f>0</x:f>
        <x:v>0</x:v>
      </x:c>
      <x:c r="AA8" s="98" t="n">
        <x:f>0</x:f>
        <x:v>0</x:v>
      </x:c>
      <x:c r="AB8" s="98" t="n">
        <x:f>0</x:f>
        <x:v>0</x:v>
      </x:c>
      <x:c r="AC8" s="98" t="n">
        <x:f>0</x:f>
        <x:v>0</x:v>
      </x:c>
      <x:c r="AD8" s="98" t="n">
        <x:f>0</x:f>
        <x:v>0</x:v>
      </x:c>
      <x:c r="AE8" s="98" t="n">
        <x:f>0</x:f>
        <x:v>0</x:v>
      </x:c>
      <x:c r="AF8" s="98" t="n">
        <x:f>0</x:f>
        <x:v>0</x:v>
      </x:c>
      <x:c r="AG8" s="98" t="n">
        <x:f>0</x:f>
        <x:v>0</x:v>
      </x:c>
      <x:c r="AH8" s="98" t="n">
        <x:f>0</x:f>
        <x:v>0</x:v>
      </x:c>
      <x:c r="AI8" s="98" t="n">
        <x:f>0</x:f>
        <x:v>0</x:v>
      </x:c>
      <x:c r="AJ8" s="98" t="n">
        <x:f>0</x:f>
        <x:v>0</x:v>
      </x:c>
      <x:c r="AK8" s="98" t="n">
        <x:f>0</x:f>
        <x:v>0</x:v>
      </x:c>
      <x:c r="AL8" s="98" t="n">
        <x:f>0</x:f>
        <x:v>0</x:v>
      </x:c>
      <x:c r="AM8" s="98" t="n">
        <x:f>0</x:f>
        <x:v>0</x:v>
      </x:c>
      <x:c r="AN8" s="98" t="n">
        <x:f>0</x:f>
        <x:v>0</x:v>
      </x:c>
      <x:c r="AO8" s="98" t="n">
        <x:f>0</x:f>
        <x:v>0</x:v>
      </x:c>
      <x:c r="AP8" s="98" t="n">
        <x:f>0</x:f>
        <x:v>0</x:v>
      </x:c>
      <x:c r="AQ8" s="98" t="n">
        <x:f>0</x:f>
        <x:v>0</x:v>
      </x:c>
      <x:c r="AR8" s="98" t="n">
        <x:f>0</x:f>
        <x:v>0</x:v>
      </x:c>
      <x:c r="AS8" s="98" t="n">
        <x:f>0</x:f>
        <x:v>0</x:v>
      </x:c>
      <x:c r="AT8" s="98" t="n">
        <x:f>0</x:f>
        <x:v>0</x:v>
      </x:c>
      <x:c r="AU8" s="98" t="n">
        <x:f>0</x:f>
        <x:v>0</x:v>
      </x:c>
      <x:c r="AV8" s="98" t="n">
        <x:f>0</x:f>
        <x:v>0</x:v>
      </x:c>
      <x:c r="AW8" s="98" t="n">
        <x:f>0</x:f>
        <x:v>0</x:v>
      </x:c>
      <x:c r="AX8" s="80"/>
      <x:c r="AY8" s="80"/>
      <x:c r="AZ8" s="80"/>
    </x:row>
    <x:row r="9">
      <x:c r="A9" s="80" t="str">
        <x:v>Operating cash flow</x:v>
      </x:c>
      <x:c r="B9" s="98" t="n">
        <x:f>0</x:f>
        <x:v>0</x:v>
      </x:c>
      <x:c r="C9" s="98" t="n">
        <x:f>0</x:f>
        <x:v>0</x:v>
      </x:c>
      <x:c r="D9" s="98" t="n">
        <x:f>0</x:f>
        <x:v>0</x:v>
      </x:c>
      <x:c r="E9" s="98" t="n">
        <x:f>0</x:f>
        <x:v>0</x:v>
      </x:c>
      <x:c r="F9" s="98" t="n">
        <x:f>0</x:f>
        <x:v>0</x:v>
      </x:c>
      <x:c r="G9" s="98" t="n">
        <x:f>0</x:f>
        <x:v>0</x:v>
      </x:c>
      <x:c r="H9" s="98" t="n">
        <x:f>0</x:f>
        <x:v>0</x:v>
      </x:c>
      <x:c r="I9" s="98" t="n">
        <x:f>0</x:f>
        <x:v>0</x:v>
      </x:c>
      <x:c r="J9" s="98" t="n">
        <x:f>0</x:f>
        <x:v>0</x:v>
      </x:c>
      <x:c r="K9" s="98" t="n">
        <x:f>0</x:f>
        <x:v>0</x:v>
      </x:c>
      <x:c r="L9" s="98" t="n">
        <x:f>0</x:f>
        <x:v>0</x:v>
      </x:c>
      <x:c r="M9" s="98" t="n">
        <x:f>0</x:f>
        <x:v>0</x:v>
      </x:c>
      <x:c r="N9" s="98" t="n">
        <x:f>'PnL_36M'!B$28</x:f>
        <x:v>-728738.3169736066</x:v>
      </x:c>
      <x:c r="O9" s="98" t="n">
        <x:f>'PnL_36M'!C$28</x:f>
        <x:v>-571023.8045984637</x:v>
      </x:c>
      <x:c r="P9" s="98" t="n">
        <x:f>'PnL_36M'!D$28</x:f>
        <x:v>-214913.78100177314</x:v>
      </x:c>
      <x:c r="Q9" s="98" t="n">
        <x:f>'PnL_36M'!E$28</x:f>
        <x:v>76136.8972579225</x:v>
      </x:c>
      <x:c r="R9" s="98" t="n">
        <x:f>'PnL_36M'!F$28</x:f>
        <x:v>482611.32919032435</x:v>
      </x:c>
      <x:c r="S9" s="98" t="n">
        <x:f>'PnL_36M'!G$28</x:f>
        <x:v>1070165.7421621482</x:v>
      </x:c>
      <x:c r="T9" s="98" t="n">
        <x:f>'PnL_36M'!H$28</x:f>
        <x:v>1568734.1765886818</x:v>
      </x:c>
      <x:c r="U9" s="98" t="n">
        <x:f>'PnL_36M'!I$28</x:f>
        <x:v>1315677.4191072695</x:v>
      </x:c>
      <x:c r="V9" s="98" t="n">
        <x:f>'PnL_36M'!J$28</x:f>
        <x:v>677798.0841112076</x:v>
      </x:c>
      <x:c r="W9" s="98" t="n">
        <x:f>'PnL_36M'!K$28</x:f>
        <x:v>391130.1087255896</x:v>
      </x:c>
      <x:c r="X9" s="98" t="n">
        <x:f>'PnL_36M'!L$28</x:f>
        <x:v>20241.995866182537</x:v>
      </x:c>
      <x:c r="Y9" s="98" t="n">
        <x:f>'PnL_36M'!M$28</x:f>
        <x:v>883401.025500856</x:v>
      </x:c>
      <x:c r="Z9" s="98" t="n">
        <x:f>'PnL_36M'!N$28</x:f>
        <x:v>-203299.6135453725</x:v>
      </x:c>
      <x:c r="AA9" s="98" t="n">
        <x:f>'PnL_36M'!O$28</x:f>
        <x:v>-204077.28609101853</x:v>
      </x:c>
      <x:c r="AB9" s="98" t="n">
        <x:f>'PnL_36M'!P$28</x:f>
        <x:v>155200.08187574727</x:v>
      </x:c>
      <x:c r="AC9" s="98" t="n">
        <x:f>'PnL_36M'!Q$28</x:f>
        <x:v>333259.22781801835</x:v>
      </x:c>
      <x:c r="AD9" s="98" t="n">
        <x:f>'PnL_36M'!R$28</x:f>
        <x:v>682969.4032538611</x:v>
      </x:c>
      <x:c r="AE9" s="98" t="n">
        <x:f>'PnL_36M'!S$28</x:f>
        <x:v>1204568.8182295787</x:v>
      </x:c>
      <x:c r="AF9" s="98" t="n">
        <x:f>'PnL_36M'!T$28</x:f>
        <x:v>1740295.9569583717</x:v>
      </x:c>
      <x:c r="AG9" s="98" t="n">
        <x:f>'PnL_36M'!U$28</x:f>
        <x:v>1469986.3854082734</x:v>
      </x:c>
      <x:c r="AH9" s="98" t="n">
        <x:f>'PnL_36M'!V$28</x:f>
        <x:v>783176.419539458</x:v>
      </x:c>
      <x:c r="AI9" s="98" t="n">
        <x:f>'PnL_36M'!W$28</x:f>
        <x:v>476679.9192722221</x:v>
      </x:c>
      <x:c r="AJ9" s="98" t="n">
        <x:f>'PnL_36M'!X$28</x:f>
        <x:v>85465.80918235128</x:v>
      </x:c>
      <x:c r="AK9" s="98" t="n">
        <x:f>'PnL_36M'!Y$28</x:f>
        <x:v>1005625.7594642168</x:v>
      </x:c>
      <x:c r="AL9" s="98" t="n">
        <x:f>'PnL_36M'!Z$28</x:f>
        <x:v>-165648.0046965737</x:v>
      </x:c>
      <x:c r="AM9" s="98" t="n">
        <x:f>'PnL_36M'!AA$28</x:f>
        <x:v>-170568.05499599362</x:v>
      </x:c>
      <x:c r="AN9" s="98" t="n">
        <x:f>'PnL_36M'!AB$28</x:f>
        <x:v>209468.9080606372</x:v>
      </x:c>
      <x:c r="AO9" s="98" t="n">
        <x:f>'PnL_36M'!AC$28</x:f>
        <x:v>399416.95524459484</x:v>
      </x:c>
      <x:c r="AP9" s="98" t="n">
        <x:f>'PnL_36M'!AD$28</x:f>
        <x:v>774315.0920004176</x:v>
      </x:c>
      <x:c r="AQ9" s="98" t="n">
        <x:f>'PnL_36M'!AE$28</x:f>
        <x:v>1330952.3868715565</x:v>
      </x:c>
      <x:c r="AR9" s="98" t="n">
        <x:f>'PnL_36M'!AF$28</x:f>
        <x:v>1904436.7948269546</x:v>
      </x:c>
      <x:c r="AS9" s="98" t="n">
        <x:f>'PnL_36M'!AG$28</x:f>
        <x:v>1616386.6574977855</x:v>
      </x:c>
      <x:c r="AT9" s="98" t="n">
        <x:f>'PnL_36M'!AH$28</x:f>
        <x:v>879965.1634157217</x:v>
      </x:c>
      <x:c r="AU9" s="98" t="n">
        <x:f>'PnL_36M'!AI$28</x:f>
        <x:v>553030.0410484263</x:v>
      </x:c>
      <x:c r="AV9" s="98" t="n">
        <x:f>'PnL_36M'!AJ$28</x:f>
        <x:v>133213.65055172605</x:v>
      </x:c>
      <x:c r="AW9" s="98" t="n">
        <x:f>'PnL_36M'!AK$28</x:f>
        <x:v>1119300.4884167453</x:v>
      </x:c>
      <x:c r="AX9" s="80"/>
      <x:c r="AY9" s="80"/>
      <x:c r="AZ9" s="80"/>
    </x:row>
    <x:row r="10">
      <x:c r="A10" s="99" t="str">
        <x:v>FREE CASH FLOW</x:v>
      </x:c>
      <x:c r="B10" s="100" t="n">
        <x:f>SUM(B7:B9)</x:f>
        <x:v>-7214250.884558401</x:v>
      </x:c>
      <x:c r="C10" s="100" t="n">
        <x:f>SUM(C7:C9)</x:f>
        <x:v>-7284250.884558401</x:v>
      </x:c>
      <x:c r="D10" s="100" t="n">
        <x:f>SUM(D7:D9)</x:f>
        <x:v>-6626841.610095921</x:v>
      </x:c>
      <x:c r="E10" s="100" t="n">
        <x:f>SUM(E7:E9)</x:f>
        <x:v>-14439432.33563344</x:v>
      </x:c>
      <x:c r="F10" s="100" t="n">
        <x:f>SUM(F7:F9)</x:f>
        <x:v>-27776660.43617096</x:v>
      </x:c>
      <x:c r="G10" s="100" t="n">
        <x:f>SUM(G7:G9)</x:f>
        <x:v>-35700151.16170848</x:v>
      </x:c>
      <x:c r="H10" s="100" t="n">
        <x:f>SUM(H7:H9)</x:f>
        <x:v>-21021604.512246</x:v>
      </x:c>
      <x:c r="I10" s="100" t="n">
        <x:f>SUM(I7:I9)</x:f>
        <x:v>-14003404.512246</x:v>
      </x:c>
      <x:c r="J10" s="100" t="n">
        <x:f>SUM(J7:J9)</x:f>
        <x:v>-20531940.106708482</x:v>
      </x:c>
      <x:c r="K10" s="100" t="n">
        <x:f>SUM(K7:K9)</x:f>
        <x:v>-17180258.655633442</x:v>
      </x:c>
      <x:c r="L10" s="100" t="n">
        <x:f>SUM(L7:L9)</x:f>
        <x:v>-4640546.247327161</x:v>
      </x:c>
      <x:c r="M10" s="100" t="n">
        <x:f>SUM(M7:M9)</x:f>
        <x:v>-5536916.157438285</x:v>
      </x:c>
      <x:c r="N10" s="100" t="n">
        <x:f>SUM(N7:N9)</x:f>
        <x:v>-728738.3169736066</x:v>
      </x:c>
      <x:c r="O10" s="100" t="n">
        <x:f>SUM(O7:O9)</x:f>
        <x:v>-571023.8045984637</x:v>
      </x:c>
      <x:c r="P10" s="100" t="n">
        <x:f>SUM(P7:P9)</x:f>
        <x:v>-214913.78100177314</x:v>
      </x:c>
      <x:c r="Q10" s="100" t="n">
        <x:f>SUM(Q7:Q9)</x:f>
        <x:v>76136.8972579225</x:v>
      </x:c>
      <x:c r="R10" s="100" t="n">
        <x:f>SUM(R7:R9)</x:f>
        <x:v>482611.32919032435</x:v>
      </x:c>
      <x:c r="S10" s="100" t="n">
        <x:f>SUM(S7:S9)</x:f>
        <x:v>1070165.7421621482</x:v>
      </x:c>
      <x:c r="T10" s="100" t="n">
        <x:f>SUM(T7:T9)</x:f>
        <x:v>1568734.1765886818</x:v>
      </x:c>
      <x:c r="U10" s="100" t="n">
        <x:f>SUM(U7:U9)</x:f>
        <x:v>1315677.4191072695</x:v>
      </x:c>
      <x:c r="V10" s="100" t="n">
        <x:f>SUM(V7:V9)</x:f>
        <x:v>677798.0841112076</x:v>
      </x:c>
      <x:c r="W10" s="100" t="n">
        <x:f>SUM(W7:W9)</x:f>
        <x:v>391130.1087255896</x:v>
      </x:c>
      <x:c r="X10" s="100" t="n">
        <x:f>SUM(X7:X9)</x:f>
        <x:v>20241.995866182537</x:v>
      </x:c>
      <x:c r="Y10" s="100" t="n">
        <x:f>SUM(Y7:Y9)</x:f>
        <x:v>883401.025500856</x:v>
      </x:c>
      <x:c r="Z10" s="100" t="n">
        <x:f>SUM(Z7:Z9)</x:f>
        <x:v>-203299.6135453725</x:v>
      </x:c>
      <x:c r="AA10" s="100" t="n">
        <x:f>SUM(AA7:AA9)</x:f>
        <x:v>-204077.28609101853</x:v>
      </x:c>
      <x:c r="AB10" s="100" t="n">
        <x:f>SUM(AB7:AB9)</x:f>
        <x:v>155200.08187574727</x:v>
      </x:c>
      <x:c r="AC10" s="100" t="n">
        <x:f>SUM(AC7:AC9)</x:f>
        <x:v>333259.22781801835</x:v>
      </x:c>
      <x:c r="AD10" s="100" t="n">
        <x:f>SUM(AD7:AD9)</x:f>
        <x:v>682969.4032538611</x:v>
      </x:c>
      <x:c r="AE10" s="100" t="n">
        <x:f>SUM(AE7:AE9)</x:f>
        <x:v>1204568.8182295787</x:v>
      </x:c>
      <x:c r="AF10" s="100" t="n">
        <x:f>SUM(AF7:AF9)</x:f>
        <x:v>1740295.9569583717</x:v>
      </x:c>
      <x:c r="AG10" s="100" t="n">
        <x:f>SUM(AG7:AG9)</x:f>
        <x:v>1469986.3854082734</x:v>
      </x:c>
      <x:c r="AH10" s="100" t="n">
        <x:f>SUM(AH7:AH9)</x:f>
        <x:v>783176.419539458</x:v>
      </x:c>
      <x:c r="AI10" s="100" t="n">
        <x:f>SUM(AI7:AI9)</x:f>
        <x:v>476679.9192722221</x:v>
      </x:c>
      <x:c r="AJ10" s="100" t="n">
        <x:f>SUM(AJ7:AJ9)</x:f>
        <x:v>85465.80918235128</x:v>
      </x:c>
      <x:c r="AK10" s="100" t="n">
        <x:f>SUM(AK7:AK9)</x:f>
        <x:v>1005625.7594642168</x:v>
      </x:c>
      <x:c r="AL10" s="100" t="n">
        <x:f>SUM(AL7:AL9)</x:f>
        <x:v>-165648.0046965737</x:v>
      </x:c>
      <x:c r="AM10" s="100" t="n">
        <x:f>SUM(AM7:AM9)</x:f>
        <x:v>-170568.05499599362</x:v>
      </x:c>
      <x:c r="AN10" s="100" t="n">
        <x:f>SUM(AN7:AN9)</x:f>
        <x:v>209468.9080606372</x:v>
      </x:c>
      <x:c r="AO10" s="100" t="n">
        <x:f>SUM(AO7:AO9)</x:f>
        <x:v>399416.95524459484</x:v>
      </x:c>
      <x:c r="AP10" s="100" t="n">
        <x:f>SUM(AP7:AP9)</x:f>
        <x:v>774315.0920004176</x:v>
      </x:c>
      <x:c r="AQ10" s="100" t="n">
        <x:f>SUM(AQ7:AQ9)</x:f>
        <x:v>1330952.3868715565</x:v>
      </x:c>
      <x:c r="AR10" s="100" t="n">
        <x:f>SUM(AR7:AR9)</x:f>
        <x:v>1904436.7948269546</x:v>
      </x:c>
      <x:c r="AS10" s="100" t="n">
        <x:f>SUM(AS7:AS9)</x:f>
        <x:v>1616386.6574977855</x:v>
      </x:c>
      <x:c r="AT10" s="100" t="n">
        <x:f>SUM(AT7:AT9)</x:f>
        <x:v>879965.1634157217</x:v>
      </x:c>
      <x:c r="AU10" s="100" t="n">
        <x:f>SUM(AU7:AU9)</x:f>
        <x:v>553030.0410484263</x:v>
      </x:c>
      <x:c r="AV10" s="100" t="n">
        <x:f>SUM(AV7:AV9)</x:f>
        <x:v>133213.65055172605</x:v>
      </x:c>
      <x:c r="AW10" s="100" t="n">
        <x:f>SUM(AW7:AW9)</x:f>
        <x:v>1119300.4884167453</x:v>
      </x:c>
      <x:c r="AX10" s="80"/>
      <x:c r="AY10" s="80"/>
      <x:c r="AZ10" s="80"/>
    </x:row>
    <x:row r="11">
      <x:c r="A11" s="80"/>
      <x:c r="B11" s="98"/>
      <x:c r="C11" s="98"/>
      <x:c r="D11" s="98"/>
      <x:c r="E11" s="98"/>
      <x:c r="F11" s="98"/>
      <x:c r="G11" s="98"/>
      <x:c r="H11" s="98"/>
      <x:c r="I11" s="98"/>
      <x:c r="J11" s="98"/>
      <x:c r="K11" s="98"/>
      <x:c r="L11" s="98"/>
      <x:c r="M11" s="98"/>
      <x:c r="N11" s="98"/>
      <x:c r="O11" s="98"/>
      <x:c r="P11" s="98"/>
      <x:c r="Q11" s="98"/>
      <x:c r="R11" s="98"/>
      <x:c r="S11" s="98"/>
      <x:c r="T11" s="98"/>
      <x:c r="U11" s="98"/>
      <x:c r="V11" s="98"/>
      <x:c r="W11" s="98"/>
      <x:c r="X11" s="98"/>
      <x:c r="Y11" s="98"/>
      <x:c r="Z11" s="98"/>
      <x:c r="AA11" s="98"/>
      <x:c r="AB11" s="98"/>
      <x:c r="AC11" s="98"/>
      <x:c r="AD11" s="98"/>
      <x:c r="AE11" s="98"/>
      <x:c r="AF11" s="98"/>
      <x:c r="AG11" s="98"/>
      <x:c r="AH11" s="98"/>
      <x:c r="AI11" s="98"/>
      <x:c r="AJ11" s="98"/>
      <x:c r="AK11" s="98"/>
      <x:c r="AL11" s="98"/>
      <x:c r="AM11" s="98"/>
      <x:c r="AN11" s="98"/>
      <x:c r="AO11" s="98"/>
      <x:c r="AP11" s="98"/>
      <x:c r="AQ11" s="98"/>
      <x:c r="AR11" s="98"/>
      <x:c r="AS11" s="98"/>
      <x:c r="AT11" s="98"/>
      <x:c r="AU11" s="98"/>
      <x:c r="AV11" s="98"/>
      <x:c r="AW11" s="98"/>
      <x:c r="AX11" s="80"/>
      <x:c r="AY11" s="80"/>
      <x:c r="AZ11" s="80"/>
    </x:row>
    <x:row r="12">
      <x:c r="A12" s="80" t="str">
        <x:v>Equity contribution</x:v>
      </x:c>
      <x:c r="B12" s="98" t="n">
        <x:f>MAX(0,-B10)</x:f>
        <x:v>7214250.884558401</x:v>
      </x:c>
      <x:c r="C12" s="98" t="n">
        <x:f>MAX(0,-C10)</x:f>
        <x:v>7284250.884558401</x:v>
      </x:c>
      <x:c r="D12" s="98" t="n">
        <x:f>MAX(0,-D10)</x:f>
        <x:v>6626841.610095921</x:v>
      </x:c>
      <x:c r="E12" s="98" t="n">
        <x:f>MAX(0,-E10)</x:f>
        <x:v>14439432.33563344</x:v>
      </x:c>
      <x:c r="F12" s="98" t="n">
        <x:f>MAX(0,-F10)</x:f>
        <x:v>27776660.43617096</x:v>
      </x:c>
      <x:c r="G12" s="98" t="n">
        <x:f>MAX(0,-G10)</x:f>
        <x:v>35700151.16170848</x:v>
      </x:c>
      <x:c r="H12" s="98" t="n">
        <x:f>MAX(0,-H10)</x:f>
        <x:v>21021604.512246</x:v>
      </x:c>
      <x:c r="I12" s="98" t="n">
        <x:f>MAX(0,-I10)</x:f>
        <x:v>14003404.512246</x:v>
      </x:c>
      <x:c r="J12" s="98" t="n">
        <x:f>MAX(0,-J10)</x:f>
        <x:v>20531940.106708482</x:v>
      </x:c>
      <x:c r="K12" s="98" t="n">
        <x:f>MAX(0,-K10)</x:f>
        <x:v>17180258.655633442</x:v>
      </x:c>
      <x:c r="L12" s="98" t="n">
        <x:f>MAX(0,-L10)</x:f>
        <x:v>4640546.247327161</x:v>
      </x:c>
      <x:c r="M12" s="98" t="n">
        <x:f>MAX(0,-M10)</x:f>
        <x:v>5536916.157438285</x:v>
      </x:c>
      <x:c r="N12" s="98" t="n">
        <x:f>MAX(0,-N10)</x:f>
        <x:v>728738.3169736066</x:v>
      </x:c>
      <x:c r="O12" s="98" t="n">
        <x:f>MAX(0,-O10)</x:f>
        <x:v>571023.8045984637</x:v>
      </x:c>
      <x:c r="P12" s="98" t="n">
        <x:f>MAX(0,-P10)</x:f>
        <x:v>214913.78100177314</x:v>
      </x:c>
      <x:c r="Q12" s="98" t="n">
        <x:f>MAX(0,-Q10)</x:f>
        <x:v>0</x:v>
      </x:c>
      <x:c r="R12" s="98" t="n">
        <x:f>MAX(0,-R10)</x:f>
        <x:v>0</x:v>
      </x:c>
      <x:c r="S12" s="98" t="n">
        <x:f>MAX(0,-S10)</x:f>
        <x:v>0</x:v>
      </x:c>
      <x:c r="T12" s="98" t="n">
        <x:f>MAX(0,-T10)</x:f>
        <x:v>0</x:v>
      </x:c>
      <x:c r="U12" s="98" t="n">
        <x:f>MAX(0,-U10)</x:f>
        <x:v>0</x:v>
      </x:c>
      <x:c r="V12" s="98" t="n">
        <x:f>MAX(0,-V10)</x:f>
        <x:v>0</x:v>
      </x:c>
      <x:c r="W12" s="98" t="n">
        <x:f>MAX(0,-W10)</x:f>
        <x:v>0</x:v>
      </x:c>
      <x:c r="X12" s="98" t="n">
        <x:f>MAX(0,-X10)</x:f>
        <x:v>0</x:v>
      </x:c>
      <x:c r="Y12" s="98" t="n">
        <x:f>MAX(0,-Y10)</x:f>
        <x:v>0</x:v>
      </x:c>
      <x:c r="Z12" s="98" t="n">
        <x:f>MAX(0,-Z10)</x:f>
        <x:v>203299.6135453725</x:v>
      </x:c>
      <x:c r="AA12" s="98" t="n">
        <x:f>MAX(0,-AA10)</x:f>
        <x:v>204077.28609101853</x:v>
      </x:c>
      <x:c r="AB12" s="98" t="n">
        <x:f>MAX(0,-AB10)</x:f>
        <x:v>0</x:v>
      </x:c>
      <x:c r="AC12" s="98" t="n">
        <x:f>MAX(0,-AC10)</x:f>
        <x:v>0</x:v>
      </x:c>
      <x:c r="AD12" s="98" t="n">
        <x:f>MAX(0,-AD10)</x:f>
        <x:v>0</x:v>
      </x:c>
      <x:c r="AE12" s="98" t="n">
        <x:f>MAX(0,-AE10)</x:f>
        <x:v>0</x:v>
      </x:c>
      <x:c r="AF12" s="98" t="n">
        <x:f>MAX(0,-AF10)</x:f>
        <x:v>0</x:v>
      </x:c>
      <x:c r="AG12" s="98" t="n">
        <x:f>MAX(0,-AG10)</x:f>
        <x:v>0</x:v>
      </x:c>
      <x:c r="AH12" s="98" t="n">
        <x:f>MAX(0,-AH10)</x:f>
        <x:v>0</x:v>
      </x:c>
      <x:c r="AI12" s="98" t="n">
        <x:f>MAX(0,-AI10)</x:f>
        <x:v>0</x:v>
      </x:c>
      <x:c r="AJ12" s="98" t="n">
        <x:f>MAX(0,-AJ10)</x:f>
        <x:v>0</x:v>
      </x:c>
      <x:c r="AK12" s="98" t="n">
        <x:f>MAX(0,-AK10)</x:f>
        <x:v>0</x:v>
      </x:c>
      <x:c r="AL12" s="98" t="n">
        <x:f>MAX(0,-AL10)</x:f>
        <x:v>165648.0046965737</x:v>
      </x:c>
      <x:c r="AM12" s="98" t="n">
        <x:f>MAX(0,-AM10)</x:f>
        <x:v>170568.05499599362</x:v>
      </x:c>
      <x:c r="AN12" s="98" t="n">
        <x:f>MAX(0,-AN10)</x:f>
        <x:v>0</x:v>
      </x:c>
      <x:c r="AO12" s="98" t="n">
        <x:f>MAX(0,-AO10)</x:f>
        <x:v>0</x:v>
      </x:c>
      <x:c r="AP12" s="98" t="n">
        <x:f>MAX(0,-AP10)</x:f>
        <x:v>0</x:v>
      </x:c>
      <x:c r="AQ12" s="98" t="n">
        <x:f>MAX(0,-AQ10)</x:f>
        <x:v>0</x:v>
      </x:c>
      <x:c r="AR12" s="98" t="n">
        <x:f>MAX(0,-AR10)</x:f>
        <x:v>0</x:v>
      </x:c>
      <x:c r="AS12" s="98" t="n">
        <x:f>MAX(0,-AS10)</x:f>
        <x:v>0</x:v>
      </x:c>
      <x:c r="AT12" s="98" t="n">
        <x:f>MAX(0,-AT10)</x:f>
        <x:v>0</x:v>
      </x:c>
      <x:c r="AU12" s="98" t="n">
        <x:f>MAX(0,-AU10)</x:f>
        <x:v>0</x:v>
      </x:c>
      <x:c r="AV12" s="98" t="n">
        <x:f>MAX(0,-AV10)</x:f>
        <x:v>0</x:v>
      </x:c>
      <x:c r="AW12" s="98" t="n">
        <x:f>MAX(0,-AW10)</x:f>
        <x:v>0</x:v>
      </x:c>
      <x:c r="AX12" s="80"/>
      <x:c r="AY12" s="80"/>
      <x:c r="AZ12" s="80"/>
    </x:row>
    <x:row r="13">
      <x:c r="A13" s="99" t="str">
        <x:v>Cash after financing</x:v>
      </x:c>
      <x:c r="B13" s="100" t="n">
        <x:f>B10+B12</x:f>
        <x:v>0</x:v>
      </x:c>
      <x:c r="C13" s="100" t="n">
        <x:f>C10+C12</x:f>
        <x:v>0</x:v>
      </x:c>
      <x:c r="D13" s="100" t="n">
        <x:f>D10+D12</x:f>
        <x:v>0</x:v>
      </x:c>
      <x:c r="E13" s="100" t="n">
        <x:f>E10+E12</x:f>
        <x:v>0</x:v>
      </x:c>
      <x:c r="F13" s="100" t="n">
        <x:f>F10+F12</x:f>
        <x:v>0</x:v>
      </x:c>
      <x:c r="G13" s="100" t="n">
        <x:f>G10+G12</x:f>
        <x:v>0</x:v>
      </x:c>
      <x:c r="H13" s="100" t="n">
        <x:f>H10+H12</x:f>
        <x:v>0</x:v>
      </x:c>
      <x:c r="I13" s="100" t="n">
        <x:f>I10+I12</x:f>
        <x:v>0</x:v>
      </x:c>
      <x:c r="J13" s="100" t="n">
        <x:f>J10+J12</x:f>
        <x:v>0</x:v>
      </x:c>
      <x:c r="K13" s="100" t="n">
        <x:f>K10+K12</x:f>
        <x:v>0</x:v>
      </x:c>
      <x:c r="L13" s="100" t="n">
        <x:f>L10+L12</x:f>
        <x:v>0</x:v>
      </x:c>
      <x:c r="M13" s="100" t="n">
        <x:f>M10+M12</x:f>
        <x:v>0</x:v>
      </x:c>
      <x:c r="N13" s="100" t="n">
        <x:f>N10+N12</x:f>
        <x:v>0</x:v>
      </x:c>
      <x:c r="O13" s="100" t="n">
        <x:f>O10+O12</x:f>
        <x:v>0</x:v>
      </x:c>
      <x:c r="P13" s="100" t="n">
        <x:f>P10+P12</x:f>
        <x:v>0</x:v>
      </x:c>
      <x:c r="Q13" s="100" t="n">
        <x:f>Q10+Q12</x:f>
        <x:v>76136.8972579225</x:v>
      </x:c>
      <x:c r="R13" s="100" t="n">
        <x:f>R10+R12</x:f>
        <x:v>482611.32919032435</x:v>
      </x:c>
      <x:c r="S13" s="100" t="n">
        <x:f>S10+S12</x:f>
        <x:v>1070165.7421621482</x:v>
      </x:c>
      <x:c r="T13" s="100" t="n">
        <x:f>T10+T12</x:f>
        <x:v>1568734.1765886818</x:v>
      </x:c>
      <x:c r="U13" s="100" t="n">
        <x:f>U10+U12</x:f>
        <x:v>1315677.4191072695</x:v>
      </x:c>
      <x:c r="V13" s="100" t="n">
        <x:f>V10+V12</x:f>
        <x:v>677798.0841112076</x:v>
      </x:c>
      <x:c r="W13" s="100" t="n">
        <x:f>W10+W12</x:f>
        <x:v>391130.1087255896</x:v>
      </x:c>
      <x:c r="X13" s="100" t="n">
        <x:f>X10+X12</x:f>
        <x:v>20241.995866182537</x:v>
      </x:c>
      <x:c r="Y13" s="100" t="n">
        <x:f>Y10+Y12</x:f>
        <x:v>883401.025500856</x:v>
      </x:c>
      <x:c r="Z13" s="100" t="n">
        <x:f>Z10+Z12</x:f>
        <x:v>0</x:v>
      </x:c>
      <x:c r="AA13" s="100" t="n">
        <x:f>AA10+AA12</x:f>
        <x:v>0</x:v>
      </x:c>
      <x:c r="AB13" s="100" t="n">
        <x:f>AB10+AB12</x:f>
        <x:v>155200.08187574727</x:v>
      </x:c>
      <x:c r="AC13" s="100" t="n">
        <x:f>AC10+AC12</x:f>
        <x:v>333259.22781801835</x:v>
      </x:c>
      <x:c r="AD13" s="100" t="n">
        <x:f>AD10+AD12</x:f>
        <x:v>682969.4032538611</x:v>
      </x:c>
      <x:c r="AE13" s="100" t="n">
        <x:f>AE10+AE12</x:f>
        <x:v>1204568.8182295787</x:v>
      </x:c>
      <x:c r="AF13" s="100" t="n">
        <x:f>AF10+AF12</x:f>
        <x:v>1740295.9569583717</x:v>
      </x:c>
      <x:c r="AG13" s="100" t="n">
        <x:f>AG10+AG12</x:f>
        <x:v>1469986.3854082734</x:v>
      </x:c>
      <x:c r="AH13" s="100" t="n">
        <x:f>AH10+AH12</x:f>
        <x:v>783176.419539458</x:v>
      </x:c>
      <x:c r="AI13" s="100" t="n">
        <x:f>AI10+AI12</x:f>
        <x:v>476679.9192722221</x:v>
      </x:c>
      <x:c r="AJ13" s="100" t="n">
        <x:f>AJ10+AJ12</x:f>
        <x:v>85465.80918235128</x:v>
      </x:c>
      <x:c r="AK13" s="100" t="n">
        <x:f>AK10+AK12</x:f>
        <x:v>1005625.7594642168</x:v>
      </x:c>
      <x:c r="AL13" s="100" t="n">
        <x:f>AL10+AL12</x:f>
        <x:v>0</x:v>
      </x:c>
      <x:c r="AM13" s="100" t="n">
        <x:f>AM10+AM12</x:f>
        <x:v>0</x:v>
      </x:c>
      <x:c r="AN13" s="100" t="n">
        <x:f>AN10+AN12</x:f>
        <x:v>209468.9080606372</x:v>
      </x:c>
      <x:c r="AO13" s="100" t="n">
        <x:f>AO10+AO12</x:f>
        <x:v>399416.95524459484</x:v>
      </x:c>
      <x:c r="AP13" s="100" t="n">
        <x:f>AP10+AP12</x:f>
        <x:v>774315.0920004176</x:v>
      </x:c>
      <x:c r="AQ13" s="100" t="n">
        <x:f>AQ10+AQ12</x:f>
        <x:v>1330952.3868715565</x:v>
      </x:c>
      <x:c r="AR13" s="100" t="n">
        <x:f>AR10+AR12</x:f>
        <x:v>1904436.7948269546</x:v>
      </x:c>
      <x:c r="AS13" s="100" t="n">
        <x:f>AS10+AS12</x:f>
        <x:v>1616386.6574977855</x:v>
      </x:c>
      <x:c r="AT13" s="100" t="n">
        <x:f>AT10+AT12</x:f>
        <x:v>879965.1634157217</x:v>
      </x:c>
      <x:c r="AU13" s="100" t="n">
        <x:f>AU10+AU12</x:f>
        <x:v>553030.0410484263</x:v>
      </x:c>
      <x:c r="AV13" s="100" t="n">
        <x:f>AV10+AV12</x:f>
        <x:v>133213.65055172605</x:v>
      </x:c>
      <x:c r="AW13" s="100" t="n">
        <x:f>AW10+AW12</x:f>
        <x:v>1119300.4884167453</x:v>
      </x:c>
      <x:c r="AX13" s="80"/>
      <x:c r="AY13" s="80"/>
      <x:c r="AZ13" s="80"/>
    </x:row>
    <x:row r="14">
      <x:c r="A14" s="99" t="str">
        <x:v>Cumulative project FCF</x:v>
      </x:c>
      <x:c r="B14" s="100" t="n">
        <x:f>B10</x:f>
        <x:v>-7214250.884558401</x:v>
      </x:c>
      <x:c r="C14" s="100" t="n">
        <x:f>B14+C10</x:f>
        <x:v>-14498501.769116802</x:v>
      </x:c>
      <x:c r="D14" s="100" t="n">
        <x:f>C14+D10</x:f>
        <x:v>-21125343.379212722</x:v>
      </x:c>
      <x:c r="E14" s="100" t="n">
        <x:f>D14+E10</x:f>
        <x:v>-35564775.714846164</x:v>
      </x:c>
      <x:c r="F14" s="100" t="n">
        <x:f>E14+F10</x:f>
        <x:v>-63341436.15101713</x:v>
      </x:c>
      <x:c r="G14" s="100" t="n">
        <x:f>F14+G10</x:f>
        <x:v>-99041587.3127256</x:v>
      </x:c>
      <x:c r="H14" s="100" t="n">
        <x:f>G14+H10</x:f>
        <x:v>-120063191.8249716</x:v>
      </x:c>
      <x:c r="I14" s="100" t="n">
        <x:f>H14+I10</x:f>
        <x:v>-134066596.3372176</x:v>
      </x:c>
      <x:c r="J14" s="100" t="n">
        <x:f>I14+J10</x:f>
        <x:v>-154598536.4439261</x:v>
      </x:c>
      <x:c r="K14" s="100" t="n">
        <x:f>J14+K10</x:f>
        <x:v>-171778795.09955955</x:v>
      </x:c>
      <x:c r="L14" s="100" t="n">
        <x:f>K14+L10</x:f>
        <x:v>-176419341.3468867</x:v>
      </x:c>
      <x:c r="M14" s="100" t="n">
        <x:f>L14+M10</x:f>
        <x:v>-181956257.50432497</x:v>
      </x:c>
      <x:c r="N14" s="100" t="n">
        <x:f>M14+N10</x:f>
        <x:v>-182684995.82129857</x:v>
      </x:c>
      <x:c r="O14" s="100" t="n">
        <x:f>N14+O10</x:f>
        <x:v>-183256019.62589702</x:v>
      </x:c>
      <x:c r="P14" s="100" t="n">
        <x:f>O14+P10</x:f>
        <x:v>-183470933.4068988</x:v>
      </x:c>
      <x:c r="Q14" s="100" t="n">
        <x:f>P14+Q10</x:f>
        <x:v>-183394796.50964087</x:v>
      </x:c>
      <x:c r="R14" s="100" t="n">
        <x:f>Q14+R10</x:f>
        <x:v>-182912185.18045056</x:v>
      </x:c>
      <x:c r="S14" s="100" t="n">
        <x:f>R14+S10</x:f>
        <x:v>-181842019.43828842</x:v>
      </x:c>
      <x:c r="T14" s="100" t="n">
        <x:f>S14+T10</x:f>
        <x:v>-180273285.26169974</x:v>
      </x:c>
      <x:c r="U14" s="100" t="n">
        <x:f>T14+U10</x:f>
        <x:v>-178957607.84259248</x:v>
      </x:c>
      <x:c r="V14" s="100" t="n">
        <x:f>U14+V10</x:f>
        <x:v>-178279809.75848126</x:v>
      </x:c>
      <x:c r="W14" s="100" t="n">
        <x:f>V14+W10</x:f>
        <x:v>-177888679.6497557</x:v>
      </x:c>
      <x:c r="X14" s="100" t="n">
        <x:f>W14+X10</x:f>
        <x:v>-177868437.6538895</x:v>
      </x:c>
      <x:c r="Y14" s="100" t="n">
        <x:f>X14+Y10</x:f>
        <x:v>-176985036.62838864</x:v>
      </x:c>
      <x:c r="Z14" s="100" t="n">
        <x:f>Y14+Z10</x:f>
        <x:v>-177188336.241934</x:v>
      </x:c>
      <x:c r="AA14" s="100" t="n">
        <x:f>Z14+AA10</x:f>
        <x:v>-177392413.52802503</x:v>
      </x:c>
      <x:c r="AB14" s="100" t="n">
        <x:f>AA14+AB10</x:f>
        <x:v>-177237213.4461493</x:v>
      </x:c>
      <x:c r="AC14" s="100" t="n">
        <x:f>AB14+AC10</x:f>
        <x:v>-176903954.21833128</x:v>
      </x:c>
      <x:c r="AD14" s="100" t="n">
        <x:f>AC14+AD10</x:f>
        <x:v>-176220984.81507742</x:v>
      </x:c>
      <x:c r="AE14" s="100" t="n">
        <x:f>AD14+AE10</x:f>
        <x:v>-175016415.99684784</x:v>
      </x:c>
      <x:c r="AF14" s="100" t="n">
        <x:f>AE14+AF10</x:f>
        <x:v>-173276120.03988945</x:v>
      </x:c>
      <x:c r="AG14" s="100" t="n">
        <x:f>AF14+AG10</x:f>
        <x:v>-171806133.65448117</x:v>
      </x:c>
      <x:c r="AH14" s="100" t="n">
        <x:f>AG14+AH10</x:f>
        <x:v>-171022957.23494172</x:v>
      </x:c>
      <x:c r="AI14" s="100" t="n">
        <x:f>AH14+AI10</x:f>
        <x:v>-170546277.3156695</x:v>
      </x:c>
      <x:c r="AJ14" s="100" t="n">
        <x:f>AI14+AJ10</x:f>
        <x:v>-170460811.50648716</x:v>
      </x:c>
      <x:c r="AK14" s="100" t="n">
        <x:f>AJ14+AK10</x:f>
        <x:v>-169455185.74702296</x:v>
      </x:c>
      <x:c r="AL14" s="100" t="n">
        <x:f>AK14+AL10</x:f>
        <x:v>-169620833.75171953</x:v>
      </x:c>
      <x:c r="AM14" s="100" t="n">
        <x:f>AL14+AM10</x:f>
        <x:v>-169791401.80671552</x:v>
      </x:c>
      <x:c r="AN14" s="100" t="n">
        <x:f>AM14+AN10</x:f>
        <x:v>-169581932.89865488</x:v>
      </x:c>
      <x:c r="AO14" s="100" t="n">
        <x:f>AN14+AO10</x:f>
        <x:v>-169182515.94341028</x:v>
      </x:c>
      <x:c r="AP14" s="100" t="n">
        <x:f>AO14+AP10</x:f>
        <x:v>-168408200.85140985</x:v>
      </x:c>
      <x:c r="AQ14" s="100" t="n">
        <x:f>AP14+AQ10</x:f>
        <x:v>-167077248.4645383</x:v>
      </x:c>
      <x:c r="AR14" s="100" t="n">
        <x:f>AQ14+AR10</x:f>
        <x:v>-165172811.66971135</x:v>
      </x:c>
      <x:c r="AS14" s="100" t="n">
        <x:f>AR14+AS10</x:f>
        <x:v>-163556425.01221356</x:v>
      </x:c>
      <x:c r="AT14" s="100" t="n">
        <x:f>AS14+AT10</x:f>
        <x:v>-162676459.84879783</x:v>
      </x:c>
      <x:c r="AU14" s="100" t="n">
        <x:f>AT14+AU10</x:f>
        <x:v>-162123429.8077494</x:v>
      </x:c>
      <x:c r="AV14" s="100" t="n">
        <x:f>AU14+AV10</x:f>
        <x:v>-161990216.15719765</x:v>
      </x:c>
      <x:c r="AW14" s="100" t="n">
        <x:f>AV14+AW10</x:f>
        <x:v>-160870915.66878092</x:v>
      </x:c>
      <x:c r="AX14" s="80"/>
      <x:c r="AY14" s="80"/>
      <x:c r="AZ14" s="80"/>
    </x:row>
  </x:sheetData>
  <x:mergeCells>
    <x:mergeCell ref="A1:AW1"/>
    <x:mergeCell ref="A2:AW2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</x:cols>
  <x:sheetData>
    <x:row r="1" ht="32" customHeight="1">
      <x:c r="A1" s="4" t="str">
        <x:v>Investor Returns — unlevered proxy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78"/>
      <x:c r="N1" s="78"/>
      <x:c r="O1" s="78"/>
      <x:c r="P1" s="78"/>
      <x:c r="Q1" s="78"/>
      <x:c r="R1" s="78"/>
      <x:c r="S1" s="78"/>
      <x:c r="T1" s="78"/>
      <x:c r="U1" s="78"/>
      <x:c r="V1" s="78"/>
      <x:c r="W1" s="78"/>
      <x:c r="X1" s="78"/>
      <x:c r="Y1" s="78"/>
      <x:c r="Z1" s="78"/>
      <x:c r="AA1" s="78"/>
      <x:c r="AB1" s="78"/>
      <x:c r="AC1" s="78"/>
      <x:c r="AD1" s="78"/>
      <x:c r="AE1" s="78"/>
      <x:c r="AF1" s="78"/>
      <x:c r="AG1" s="78"/>
      <x:c r="AH1" s="78"/>
      <x:c r="AI1" s="78"/>
      <x:c r="AJ1" s="78"/>
      <x:c r="AK1" s="78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Иллюстративный 10-летний cash flow: 100% equity, exit multiple и рост после Year 3 — assumptions. Не оферта.</x:v>
      </x:c>
      <x:c r="B2" s="79"/>
      <x:c r="C2" s="79"/>
      <x:c r="D2" s="79"/>
      <x:c r="E2" s="79"/>
      <x:c r="F2" s="79"/>
      <x:c r="G2" s="79"/>
      <x:c r="H2" s="79"/>
      <x:c r="I2" s="79"/>
      <x:c r="J2" s="79"/>
      <x:c r="K2" s="79"/>
      <x:c r="L2" s="79"/>
      <x:c r="M2" s="80"/>
      <x:c r="N2" s="80"/>
      <x:c r="O2" s="80"/>
      <x:c r="P2" s="80"/>
      <x:c r="Q2" s="80"/>
      <x:c r="R2" s="80"/>
      <x:c r="S2" s="80"/>
      <x:c r="T2" s="80"/>
      <x:c r="U2" s="80"/>
      <x:c r="V2" s="80"/>
      <x:c r="W2" s="80"/>
      <x:c r="X2" s="80"/>
      <x:c r="Y2" s="80"/>
      <x:c r="Z2" s="80"/>
      <x:c r="AA2" s="80"/>
      <x:c r="AB2" s="80"/>
      <x:c r="AC2" s="80"/>
      <x:c r="AD2" s="80"/>
      <x:c r="AE2" s="80"/>
      <x:c r="AF2" s="80"/>
      <x:c r="AG2" s="80"/>
      <x:c r="AH2" s="80"/>
      <x:c r="AI2" s="80"/>
      <x:c r="AJ2" s="80"/>
      <x:c r="AK2" s="80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>
      <x:c r="A4" s="80"/>
      <x:c r="B4" s="80"/>
      <x:c r="C4" s="80"/>
      <x:c r="D4" s="80"/>
      <x:c r="E4" s="80"/>
      <x:c r="F4" s="80"/>
      <x:c r="G4" s="80"/>
      <x:c r="H4" s="80"/>
      <x:c r="I4" s="80"/>
      <x:c r="J4" s="80"/>
      <x:c r="K4" s="80"/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 ht="26" customHeight="1">
      <x:c r="A5" s="101" t="str">
        <x:v>Показатель</x:v>
      </x:c>
      <x:c r="B5" s="102" t="str">
        <x:v>Year 0</x:v>
      </x:c>
      <x:c r="C5" s="102" t="str">
        <x:v>Year 1</x:v>
      </x:c>
      <x:c r="D5" s="102" t="str">
        <x:v>Year 2</x:v>
      </x:c>
      <x:c r="E5" s="102" t="str">
        <x:v>Year 3</x:v>
      </x:c>
      <x:c r="F5" s="102" t="str">
        <x:v>Year 4</x:v>
      </x:c>
      <x:c r="G5" s="102" t="str">
        <x:v>Year 5</x:v>
      </x:c>
      <x:c r="H5" s="102" t="str">
        <x:v>Year 6</x:v>
      </x:c>
      <x:c r="I5" s="102" t="str">
        <x:v>Year 7</x:v>
      </x:c>
      <x:c r="J5" s="102" t="str">
        <x:v>Year 8</x:v>
      </x:c>
      <x:c r="K5" s="102" t="str">
        <x:v>Year 9</x:v>
      </x:c>
      <x:c r="L5" s="103" t="str">
        <x:v>Year 10</x:v>
      </x:c>
      <x:c r="M5" s="80"/>
      <x:c r="N5" s="80"/>
      <x:c r="O5" s="80"/>
      <x:c r="P5" s="80"/>
      <x:c r="Q5" s="80"/>
      <x:c r="R5" s="80"/>
      <x:c r="S5" s="80"/>
      <x:c r="T5" s="80"/>
      <x:c r="U5" s="80"/>
      <x:c r="V5" s="80"/>
      <x:c r="W5" s="80"/>
      <x:c r="X5" s="80"/>
      <x:c r="Y5" s="80"/>
      <x:c r="Z5" s="80"/>
      <x:c r="AA5" s="80"/>
      <x:c r="AB5" s="80"/>
      <x:c r="AC5" s="80"/>
      <x:c r="AD5" s="80"/>
      <x:c r="AE5" s="80"/>
      <x:c r="AF5" s="80"/>
      <x:c r="AG5" s="80"/>
      <x:c r="AH5" s="80"/>
      <x:c r="AI5" s="80"/>
      <x:c r="AJ5" s="80"/>
      <x:c r="AK5" s="80"/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0"/>
      <x:c r="B6" s="80"/>
      <x:c r="C6" s="80"/>
      <x:c r="D6" s="80"/>
      <x:c r="E6" s="80"/>
      <x:c r="F6" s="80"/>
      <x:c r="G6" s="80"/>
      <x:c r="H6" s="80"/>
      <x:c r="I6" s="80"/>
      <x:c r="J6" s="80"/>
      <x:c r="K6" s="80"/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80" t="str">
        <x:v>Operating cash flow</x:v>
      </x:c>
      <x:c r="B7" s="80" t="n">
        <x:f>0</x:f>
        <x:v>0</x:v>
      </x:c>
      <x:c r="C7" s="80" t="n">
        <x:f>SUM('PnL_36M'!B$28:M$28)</x:f>
        <x:v>4971220.875936339</x:v>
      </x:c>
      <x:c r="D7" s="80" t="n">
        <x:f>SUM('PnL_36M'!N$28:Y$28)</x:f>
        <x:v>7529850.881365708</x:v>
      </x:c>
      <x:c r="E7" s="80" t="n">
        <x:f>SUM('PnL_36M'!Z$28:AK$28)</x:f>
        <x:v>8584270.078242</x:v>
      </x:c>
      <x:c r="F7" s="80" t="n">
        <x:f>E7*(1+'Assumptions'!$B$14)</x:f>
        <x:v>9013483.5821541</x:v>
      </x:c>
      <x:c r="G7" s="80" t="n">
        <x:f>F7*(1+'Assumptions'!$B$14)</x:f>
        <x:v>9464157.761261806</x:v>
      </x:c>
      <x:c r="H7" s="80" t="n">
        <x:f>G7*(1+'Assumptions'!$B$14)</x:f>
        <x:v>9937365.649324896</x:v>
      </x:c>
      <x:c r="I7" s="80" t="n">
        <x:f>H7*(1+'Assumptions'!$B$14)</x:f>
        <x:v>10434233.931791142</x:v>
      </x:c>
      <x:c r="J7" s="80" t="n">
        <x:f>I7*(1+'Assumptions'!$B$14)</x:f>
        <x:v>10955945.6283807</x:v>
      </x:c>
      <x:c r="K7" s="80" t="n">
        <x:f>J7*(1+'Assumptions'!$B$14)</x:f>
        <x:v>11503742.909799734</x:v>
      </x:c>
      <x:c r="L7" s="80" t="n">
        <x:f>K7*(1+'Assumptions'!$B$14)</x:f>
        <x:v>12078930.055289721</x:v>
      </x:c>
      <x:c r="M7" s="80"/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80" t="str">
        <x:v>Terminal value</x:v>
      </x:c>
      <x:c r="B8" s="80" t="n">
        <x:f>0</x:f>
        <x:v>0</x:v>
      </x:c>
      <x:c r="C8" s="80" t="n">
        <x:f>0</x:f>
        <x:v>0</x:v>
      </x:c>
      <x:c r="D8" s="80" t="n">
        <x:f>0</x:f>
        <x:v>0</x:v>
      </x:c>
      <x:c r="E8" s="80" t="n">
        <x:f>0</x:f>
        <x:v>0</x:v>
      </x:c>
      <x:c r="F8" s="80" t="n">
        <x:f>0</x:f>
        <x:v>0</x:v>
      </x:c>
      <x:c r="G8" s="80" t="n">
        <x:f>0</x:f>
        <x:v>0</x:v>
      </x:c>
      <x:c r="H8" s="80" t="n">
        <x:f>0</x:f>
        <x:v>0</x:v>
      </x:c>
      <x:c r="I8" s="80" t="n">
        <x:f>0</x:f>
        <x:v>0</x:v>
      </x:c>
      <x:c r="J8" s="80" t="n">
        <x:f>0</x:f>
        <x:v>0</x:v>
      </x:c>
      <x:c r="K8" s="80" t="n">
        <x:f>0</x:f>
        <x:v>0</x:v>
      </x:c>
      <x:c r="L8" s="80" t="n">
        <x:f>L7/(1-'Assumptions'!$B$10-'Assumptions'!$B$12)*'Assumptions'!$B$13</x:f>
        <x:v>103112817.54515617</x:v>
      </x:c>
      <x:c r="M8" s="80"/>
      <x:c r="N8" s="80"/>
      <x:c r="O8" s="80"/>
      <x:c r="P8" s="80"/>
      <x:c r="Q8" s="80"/>
      <x:c r="R8" s="80"/>
      <x:c r="S8" s="80"/>
      <x:c r="T8" s="80"/>
      <x:c r="U8" s="80"/>
      <x:c r="V8" s="80"/>
      <x:c r="W8" s="80"/>
      <x:c r="X8" s="80"/>
      <x:c r="Y8" s="80"/>
      <x:c r="Z8" s="80"/>
      <x:c r="AA8" s="80"/>
      <x:c r="AB8" s="80"/>
      <x:c r="AC8" s="80"/>
      <x:c r="AD8" s="80"/>
      <x:c r="AE8" s="80"/>
      <x:c r="AF8" s="80"/>
      <x:c r="AG8" s="80"/>
      <x:c r="AH8" s="80"/>
      <x:c r="AI8" s="80"/>
      <x:c r="AJ8" s="80"/>
      <x:c r="AK8" s="80"/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99" t="str">
        <x:v>UNLEVERED CASH FLOW</x:v>
      </x:c>
      <x:c r="B9" s="100" t="n">
        <x:f>-SUM('Build_CAPEX'!$H$5:$H$40)-('Operating_OPEX'!B$39+'Operating_OPEX'!B$48+'Operating_OPEX'!B$61)*'Assumptions'!$B$15</x:f>
        <x:v>-181956257.50432494</x:v>
      </x:c>
      <x:c r="C9" s="100" t="n">
        <x:f>SUM(C7:C8)</x:f>
        <x:v>4971220.875936339</x:v>
      </x:c>
      <x:c r="D9" s="100" t="n">
        <x:f>SUM(D7:D8)</x:f>
        <x:v>7529850.881365708</x:v>
      </x:c>
      <x:c r="E9" s="100" t="n">
        <x:f>SUM(E7:E8)</x:f>
        <x:v>8584270.078242</x:v>
      </x:c>
      <x:c r="F9" s="100" t="n">
        <x:f>SUM(F7:F8)</x:f>
        <x:v>9013483.5821541</x:v>
      </x:c>
      <x:c r="G9" s="100" t="n">
        <x:f>SUM(G7:G8)</x:f>
        <x:v>9464157.761261806</x:v>
      </x:c>
      <x:c r="H9" s="100" t="n">
        <x:f>SUM(H7:H8)</x:f>
        <x:v>9937365.649324896</x:v>
      </x:c>
      <x:c r="I9" s="100" t="n">
        <x:f>SUM(I7:I8)</x:f>
        <x:v>10434233.931791142</x:v>
      </x:c>
      <x:c r="J9" s="100" t="n">
        <x:f>SUM(J7:J8)</x:f>
        <x:v>10955945.6283807</x:v>
      </x:c>
      <x:c r="K9" s="100" t="n">
        <x:f>SUM(K7:K8)</x:f>
        <x:v>11503742.909799734</x:v>
      </x:c>
      <x:c r="L9" s="100" t="n">
        <x:f>SUM(L7:L8)</x:f>
        <x:v>115191747.60044588</x:v>
      </x:c>
      <x:c r="M9" s="80"/>
      <x:c r="N9" s="80"/>
      <x:c r="O9" s="80"/>
      <x:c r="P9" s="80"/>
      <x:c r="Q9" s="80"/>
      <x:c r="R9" s="80"/>
      <x:c r="S9" s="80"/>
      <x:c r="T9" s="80"/>
      <x:c r="U9" s="80"/>
      <x:c r="V9" s="80"/>
      <x:c r="W9" s="80"/>
      <x:c r="X9" s="80"/>
      <x:c r="Y9" s="80"/>
      <x:c r="Z9" s="80"/>
      <x:c r="AA9" s="80"/>
      <x:c r="AB9" s="80"/>
      <x:c r="AC9" s="80"/>
      <x:c r="AD9" s="80"/>
      <x:c r="AE9" s="80"/>
      <x:c r="AF9" s="80"/>
      <x:c r="AG9" s="80"/>
      <x:c r="AH9" s="80"/>
      <x:c r="AI9" s="80"/>
      <x:c r="AJ9" s="80"/>
      <x:c r="AK9" s="80"/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99" t="str">
        <x:v>Cumulative cash flow</x:v>
      </x:c>
      <x:c r="B10" s="100" t="n">
        <x:f>B9</x:f>
        <x:v>-181956257.50432494</x:v>
      </x:c>
      <x:c r="C10" s="100" t="n">
        <x:f>B10+C9</x:f>
        <x:v>-176985036.6283886</x:v>
      </x:c>
      <x:c r="D10" s="100" t="n">
        <x:f>C10+D9</x:f>
        <x:v>-169455185.7470229</x:v>
      </x:c>
      <x:c r="E10" s="100" t="n">
        <x:f>D10+E9</x:f>
        <x:v>-160870915.6687809</x:v>
      </x:c>
      <x:c r="F10" s="100" t="n">
        <x:f>E10+F9</x:f>
        <x:v>-151857432.0866268</x:v>
      </x:c>
      <x:c r="G10" s="100" t="n">
        <x:f>F10+G9</x:f>
        <x:v>-142393274.325365</x:v>
      </x:c>
      <x:c r="H10" s="100" t="n">
        <x:f>G10+H9</x:f>
        <x:v>-132455908.67604011</x:v>
      </x:c>
      <x:c r="I10" s="100" t="n">
        <x:f>H10+I9</x:f>
        <x:v>-122021674.74424897</x:v>
      </x:c>
      <x:c r="J10" s="100" t="n">
        <x:f>I10+J9</x:f>
        <x:v>-111065729.11586827</x:v>
      </x:c>
      <x:c r="K10" s="100" t="n">
        <x:f>J10+K9</x:f>
        <x:v>-99561986.20606853</x:v>
      </x:c>
      <x:c r="L10" s="100" t="n">
        <x:f>K10+L9</x:f>
        <x:v>15629761.39437735</x:v>
      </x:c>
      <x:c r="M10" s="80"/>
      <x:c r="N10" s="80"/>
      <x:c r="O10" s="80"/>
      <x:c r="P10" s="80"/>
      <x:c r="Q10" s="80"/>
      <x:c r="R10" s="80"/>
      <x:c r="S10" s="80"/>
      <x:c r="T10" s="80"/>
      <x:c r="U10" s="80"/>
      <x:c r="V10" s="80"/>
      <x:c r="W10" s="80"/>
      <x:c r="X10" s="80"/>
      <x:c r="Y10" s="80"/>
      <x:c r="Z10" s="80"/>
      <x:c r="AA10" s="80"/>
      <x:c r="AB10" s="80"/>
      <x:c r="AC10" s="80"/>
      <x:c r="AD10" s="80"/>
      <x:c r="AE10" s="80"/>
      <x:c r="AF10" s="80"/>
      <x:c r="AG10" s="80"/>
      <x:c r="AH10" s="80"/>
      <x:c r="AI10" s="80"/>
      <x:c r="AJ10" s="80"/>
      <x:c r="AK10" s="80"/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80"/>
      <x:c r="B11" s="80"/>
      <x:c r="C11" s="80"/>
      <x:c r="D11" s="80"/>
      <x:c r="E11" s="80"/>
      <x:c r="F11" s="80"/>
      <x:c r="G11" s="80"/>
      <x:c r="H11" s="80"/>
      <x:c r="I11" s="80"/>
      <x:c r="J11" s="80"/>
      <x:c r="K11" s="80"/>
      <x:c r="L11" s="80"/>
      <x:c r="M11" s="80"/>
      <x:c r="N11" s="80"/>
      <x:c r="O11" s="80"/>
      <x:c r="P11" s="80"/>
      <x:c r="Q11" s="80"/>
      <x:c r="R11" s="80"/>
      <x:c r="S11" s="80"/>
      <x:c r="T11" s="80"/>
      <x:c r="U11" s="80"/>
      <x:c r="V11" s="80"/>
      <x:c r="W11" s="80"/>
      <x:c r="X11" s="80"/>
      <x:c r="Y11" s="80"/>
      <x:c r="Z11" s="80"/>
      <x:c r="AA11" s="80"/>
      <x:c r="AB11" s="80"/>
      <x:c r="AC11" s="80"/>
      <x:c r="AD11" s="80"/>
      <x:c r="AE11" s="80"/>
      <x:c r="AF11" s="80"/>
      <x:c r="AG11" s="80"/>
      <x:c r="AH11" s="80"/>
      <x:c r="AI11" s="80"/>
      <x:c r="AJ11" s="80"/>
      <x:c r="AK11" s="80"/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80"/>
      <x:c r="B12" s="80"/>
      <x:c r="C12" s="80"/>
      <x:c r="D12" s="80"/>
      <x:c r="E12" s="80"/>
      <x:c r="F12" s="80"/>
      <x:c r="G12" s="80"/>
      <x:c r="H12" s="80"/>
      <x:c r="I12" s="80"/>
      <x:c r="J12" s="80"/>
      <x:c r="K12" s="80"/>
      <x:c r="L12" s="80"/>
      <x:c r="M12" s="80"/>
      <x:c r="N12" s="80"/>
      <x:c r="O12" s="80"/>
      <x:c r="P12" s="80"/>
      <x:c r="Q12" s="80"/>
      <x:c r="R12" s="80"/>
      <x:c r="S12" s="80"/>
      <x:c r="T12" s="80"/>
      <x:c r="U12" s="80"/>
      <x:c r="V12" s="80"/>
      <x:c r="W12" s="80"/>
      <x:c r="X12" s="80"/>
      <x:c r="Y12" s="80"/>
      <x:c r="Z12" s="80"/>
      <x:c r="AA12" s="80"/>
      <x:c r="AB12" s="80"/>
      <x:c r="AC12" s="80"/>
      <x:c r="AD12" s="80"/>
      <x:c r="AE12" s="80"/>
      <x:c r="AF12" s="80"/>
      <x:c r="AG12" s="80"/>
      <x:c r="AH12" s="80"/>
      <x:c r="AI12" s="80"/>
      <x:c r="AJ12" s="80"/>
      <x:c r="AK12" s="80"/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 ht="22" customHeight="1">
      <x:c r="A13" s="106" t="str">
        <x:v>Ключевые return metrics</x:v>
      </x:c>
      <x:c r="B13" s="106"/>
      <x:c r="C13" s="106"/>
      <x:c r="D13" s="106"/>
      <x:c r="E13" s="80"/>
      <x:c r="F13" s="80"/>
      <x:c r="G13" s="80"/>
      <x:c r="H13" s="80"/>
      <x:c r="I13" s="80"/>
      <x:c r="J13" s="80"/>
      <x:c r="K13" s="80"/>
      <x:c r="L13" s="80"/>
      <x:c r="M13" s="80"/>
      <x:c r="N13" s="80"/>
      <x:c r="O13" s="80"/>
      <x:c r="P13" s="80"/>
      <x:c r="Q13" s="80"/>
      <x:c r="R13" s="80"/>
      <x:c r="S13" s="80"/>
      <x:c r="T13" s="80"/>
      <x:c r="U13" s="80"/>
      <x:c r="V13" s="80"/>
      <x:c r="W13" s="80"/>
      <x:c r="X13" s="80"/>
      <x:c r="Y13" s="80"/>
      <x:c r="Z13" s="80"/>
      <x:c r="AA13" s="80"/>
      <x:c r="AB13" s="80"/>
      <x:c r="AC13" s="80"/>
      <x:c r="AD13" s="80"/>
      <x:c r="AE13" s="80"/>
      <x:c r="AF13" s="80"/>
      <x:c r="AG13" s="80"/>
      <x:c r="AH13" s="80"/>
      <x:c r="AI13" s="80"/>
      <x:c r="AJ13" s="80"/>
      <x:c r="AK13" s="80"/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 ht="26" customHeight="1">
      <x:c r="A14" s="101" t="str">
        <x:v>Метрика</x:v>
      </x:c>
      <x:c r="B14" s="103" t="str">
        <x:v>Значение</x:v>
      </x:c>
      <x:c r="C14" s="80"/>
      <x:c r="D14" s="80"/>
      <x:c r="E14" s="80"/>
      <x:c r="F14" s="80"/>
      <x:c r="G14" s="80"/>
      <x:c r="H14" s="80"/>
      <x:c r="I14" s="80"/>
      <x:c r="J14" s="80"/>
      <x:c r="K14" s="80"/>
      <x:c r="L14" s="80"/>
      <x:c r="M14" s="80"/>
      <x:c r="N14" s="80"/>
      <x:c r="O14" s="80"/>
      <x:c r="P14" s="80"/>
      <x:c r="Q14" s="80"/>
      <x:c r="R14" s="80"/>
      <x:c r="S14" s="80"/>
      <x:c r="T14" s="80"/>
      <x:c r="U14" s="80"/>
      <x:c r="V14" s="80"/>
      <x:c r="W14" s="80"/>
      <x:c r="X14" s="80"/>
      <x:c r="Y14" s="80"/>
      <x:c r="Z14" s="80"/>
      <x:c r="AA14" s="80"/>
      <x:c r="AB14" s="80"/>
      <x:c r="AC14" s="80"/>
      <x:c r="AD14" s="80"/>
      <x:c r="AE14" s="80"/>
      <x:c r="AF14" s="80"/>
      <x:c r="AG14" s="80"/>
      <x:c r="AH14" s="80"/>
      <x:c r="AI14" s="80"/>
      <x:c r="AJ14" s="80"/>
      <x:c r="AK14" s="80"/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  <x:row r="15">
      <x:c r="A15" s="80" t="str">
        <x:v>IRR</x:v>
      </x:c>
      <x:c r="B15" s="110" t="n">
        <x:f>IF(SUM(C9:L9)&lt;=-B9,"&lt;0%",IRR(B9:L9))</x:f>
        <x:v>0.01024595929633431</x:v>
      </x:c>
      <x:c r="C15" s="80"/>
      <x:c r="D15" s="80"/>
      <x:c r="E15" s="80"/>
      <x:c r="F15" s="80"/>
      <x:c r="G15" s="80"/>
      <x:c r="H15" s="80"/>
      <x:c r="I15" s="80"/>
      <x:c r="J15" s="80"/>
      <x:c r="K15" s="80"/>
      <x:c r="L15" s="80"/>
      <x:c r="M15" s="80"/>
      <x:c r="N15" s="80"/>
      <x:c r="O15" s="80"/>
      <x:c r="P15" s="80"/>
      <x:c r="Q15" s="80"/>
      <x:c r="R15" s="80"/>
      <x:c r="S15" s="80"/>
      <x:c r="T15" s="80"/>
      <x:c r="U15" s="80"/>
      <x:c r="V15" s="80"/>
      <x:c r="W15" s="80"/>
      <x:c r="X15" s="80"/>
      <x:c r="Y15" s="80"/>
      <x:c r="Z15" s="80"/>
      <x:c r="AA15" s="80"/>
      <x:c r="AB15" s="80"/>
      <x:c r="AC15" s="80"/>
      <x:c r="AD15" s="80"/>
      <x:c r="AE15" s="80"/>
      <x:c r="AF15" s="80"/>
      <x:c r="AG15" s="80"/>
      <x:c r="AH15" s="80"/>
      <x:c r="AI15" s="80"/>
      <x:c r="AJ15" s="80"/>
      <x:c r="AK15" s="80"/>
      <x:c r="AL15" s="80"/>
      <x:c r="AM15" s="80"/>
      <x:c r="AN15" s="80"/>
      <x:c r="AO15" s="80"/>
      <x:c r="AP15" s="80"/>
      <x:c r="AQ15" s="80"/>
      <x:c r="AR15" s="80"/>
      <x:c r="AS15" s="80"/>
      <x:c r="AT15" s="80"/>
      <x:c r="AU15" s="80"/>
      <x:c r="AV15" s="80"/>
      <x:c r="AW15" s="80"/>
      <x:c r="AX15" s="80"/>
      <x:c r="AY15" s="80"/>
      <x:c r="AZ15" s="80"/>
    </x:row>
    <x:row r="16">
      <x:c r="A16" s="80" t="str">
        <x:v>MOIC</x:v>
      </x:c>
      <x:c r="B16" s="111" t="n">
        <x:f>MAX(0,SUM(C9:L9))/-B9</x:f>
        <x:v>1.0858984549844672</x:v>
      </x:c>
      <x:c r="C16" s="80"/>
      <x:c r="D16" s="80"/>
      <x:c r="E16" s="80"/>
      <x:c r="F16" s="80"/>
      <x:c r="G16" s="80"/>
      <x:c r="H16" s="80"/>
      <x:c r="I16" s="80"/>
      <x:c r="J16" s="80"/>
      <x:c r="K16" s="80"/>
      <x:c r="L16" s="80"/>
      <x:c r="M16" s="80"/>
      <x:c r="N16" s="80"/>
      <x:c r="O16" s="80"/>
      <x:c r="P16" s="80"/>
      <x:c r="Q16" s="80"/>
      <x:c r="R16" s="80"/>
      <x:c r="S16" s="80"/>
      <x:c r="T16" s="80"/>
      <x:c r="U16" s="80"/>
      <x:c r="V16" s="80"/>
      <x:c r="W16" s="80"/>
      <x:c r="X16" s="80"/>
      <x:c r="Y16" s="80"/>
      <x:c r="Z16" s="80"/>
      <x:c r="AA16" s="80"/>
      <x:c r="AB16" s="80"/>
      <x:c r="AC16" s="80"/>
      <x:c r="AD16" s="80"/>
      <x:c r="AE16" s="80"/>
      <x:c r="AF16" s="80"/>
      <x:c r="AG16" s="80"/>
      <x:c r="AH16" s="80"/>
      <x:c r="AI16" s="80"/>
      <x:c r="AJ16" s="80"/>
      <x:c r="AK16" s="80"/>
      <x:c r="AL16" s="80"/>
      <x:c r="AM16" s="80"/>
      <x:c r="AN16" s="80"/>
      <x:c r="AO16" s="80"/>
      <x:c r="AP16" s="80"/>
      <x:c r="AQ16" s="80"/>
      <x:c r="AR16" s="80"/>
      <x:c r="AS16" s="80"/>
      <x:c r="AT16" s="80"/>
      <x:c r="AU16" s="80"/>
      <x:c r="AV16" s="80"/>
      <x:c r="AW16" s="80"/>
      <x:c r="AX16" s="80"/>
      <x:c r="AY16" s="80"/>
      <x:c r="AZ16" s="80"/>
    </x:row>
    <x:row r="17">
      <x:c r="A17" s="80" t="str">
        <x:v>Payback</x:v>
      </x:c>
      <x:c r="B17" s="80" t="n">
        <x:f>IF(C10&gt;=0,1,IF(D10&gt;=0,2,IF(E10&gt;=0,3,IF(F10&gt;=0,4,IF(G10&gt;=0,5,IF(H10&gt;=0,6,IF(I10&gt;=0,7,IF(J10&gt;=0,8,IF(K10&gt;=0,9,IF(L10&gt;=0,10,"&gt;10 years"))))))))))</x:f>
        <x:v>10</x:v>
      </x:c>
      <x:c r="C17" s="80"/>
      <x:c r="D17" s="80"/>
      <x:c r="E17" s="80"/>
      <x:c r="F17" s="80"/>
      <x:c r="G17" s="80"/>
      <x:c r="H17" s="80"/>
      <x:c r="I17" s="80"/>
      <x:c r="J17" s="80"/>
      <x:c r="K17" s="80"/>
      <x:c r="L17" s="80"/>
      <x:c r="M17" s="80"/>
      <x:c r="N17" s="80"/>
      <x:c r="O17" s="80"/>
      <x:c r="P17" s="80"/>
      <x:c r="Q17" s="80"/>
      <x:c r="R17" s="80"/>
      <x:c r="S17" s="80"/>
      <x:c r="T17" s="80"/>
      <x:c r="U17" s="80"/>
      <x:c r="V17" s="80"/>
      <x:c r="W17" s="80"/>
      <x:c r="X17" s="80"/>
      <x:c r="Y17" s="80"/>
      <x:c r="Z17" s="80"/>
      <x:c r="AA17" s="80"/>
      <x:c r="AB17" s="80"/>
      <x:c r="AC17" s="80"/>
      <x:c r="AD17" s="80"/>
      <x:c r="AE17" s="80"/>
      <x:c r="AF17" s="80"/>
      <x:c r="AG17" s="80"/>
      <x:c r="AH17" s="80"/>
      <x:c r="AI17" s="80"/>
      <x:c r="AJ17" s="80"/>
      <x:c r="AK17" s="80"/>
      <x:c r="AL17" s="80"/>
      <x:c r="AM17" s="80"/>
      <x:c r="AN17" s="80"/>
      <x:c r="AO17" s="80"/>
      <x:c r="AP17" s="80"/>
      <x:c r="AQ17" s="80"/>
      <x:c r="AR17" s="80"/>
      <x:c r="AS17" s="80"/>
      <x:c r="AT17" s="80"/>
      <x:c r="AU17" s="80"/>
      <x:c r="AV17" s="80"/>
      <x:c r="AW17" s="80"/>
      <x:c r="AX17" s="80"/>
      <x:c r="AY17" s="80"/>
      <x:c r="AZ17" s="80"/>
    </x:row>
  </x:sheetData>
  <x:mergeCells>
    <x:mergeCell ref="A1:L1"/>
    <x:mergeCell ref="A2:L2"/>
    <x:mergeCell ref="A13:D13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7" hidden="0" customWidth="1"/>
    <x:col min="3" max="3" width="17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</x:cols>
  <x:sheetData>
    <x:row r="1" ht="32" customHeight="1">
      <x:c r="A1" s="4" t="str">
        <x:v>Scenario summary</x:v>
      </x:c>
      <x:c r="B1" s="4"/>
      <x:c r="C1" s="4"/>
      <x:c r="D1" s="4"/>
      <x:c r="E1" s="4"/>
      <x:c r="F1" s="4"/>
      <x:c r="G1" s="4"/>
      <x:c r="H1" s="4"/>
      <x:c r="I1" s="78"/>
      <x:c r="J1" s="78"/>
      <x:c r="K1" s="78"/>
      <x:c r="L1" s="78"/>
      <x:c r="M1" s="78"/>
      <x:c r="N1" s="78"/>
      <x:c r="O1" s="78"/>
      <x:c r="P1" s="78"/>
      <x:c r="Q1" s="78"/>
      <x:c r="R1" s="78"/>
      <x:c r="S1" s="78"/>
      <x:c r="T1" s="78"/>
      <x:c r="U1" s="78"/>
      <x:c r="V1" s="78"/>
      <x:c r="W1" s="78"/>
      <x:c r="X1" s="78"/>
      <x:c r="Y1" s="78"/>
      <x:c r="Z1" s="78"/>
      <x:c r="AA1" s="78"/>
      <x:c r="AB1" s="78"/>
      <x:c r="AC1" s="78"/>
      <x:c r="AD1" s="78"/>
      <x:c r="AE1" s="78"/>
      <x:c r="AF1" s="78"/>
      <x:c r="AG1" s="78"/>
      <x:c r="AH1" s="78"/>
      <x:c r="AI1" s="78"/>
      <x:c r="AJ1" s="78"/>
      <x:c r="AK1" s="78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Combined operating and CAPEX stress. Outputs are directional until G1/G3 inputs are measured.</x:v>
      </x:c>
      <x:c r="B2" s="79"/>
      <x:c r="C2" s="79"/>
      <x:c r="D2" s="79"/>
      <x:c r="E2" s="79"/>
      <x:c r="F2" s="79"/>
      <x:c r="G2" s="79"/>
      <x:c r="H2" s="79"/>
      <x:c r="I2" s="80"/>
      <x:c r="J2" s="80"/>
      <x:c r="K2" s="80"/>
      <x:c r="L2" s="80"/>
      <x:c r="M2" s="80"/>
      <x:c r="N2" s="80"/>
      <x:c r="O2" s="80"/>
      <x:c r="P2" s="80"/>
      <x:c r="Q2" s="80"/>
      <x:c r="R2" s="80"/>
      <x:c r="S2" s="80"/>
      <x:c r="T2" s="80"/>
      <x:c r="U2" s="80"/>
      <x:c r="V2" s="80"/>
      <x:c r="W2" s="80"/>
      <x:c r="X2" s="80"/>
      <x:c r="Y2" s="80"/>
      <x:c r="Z2" s="80"/>
      <x:c r="AA2" s="80"/>
      <x:c r="AB2" s="80"/>
      <x:c r="AC2" s="80"/>
      <x:c r="AD2" s="80"/>
      <x:c r="AE2" s="80"/>
      <x:c r="AF2" s="80"/>
      <x:c r="AG2" s="80"/>
      <x:c r="AH2" s="80"/>
      <x:c r="AI2" s="80"/>
      <x:c r="AJ2" s="80"/>
      <x:c r="AK2" s="80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>
      <x:c r="A4" s="80"/>
      <x:c r="B4" s="80"/>
      <x:c r="C4" s="80"/>
      <x:c r="D4" s="80"/>
      <x:c r="E4" s="80"/>
      <x:c r="F4" s="80"/>
      <x:c r="G4" s="80"/>
      <x:c r="H4" s="80"/>
      <x:c r="I4" s="80"/>
      <x:c r="J4" s="80"/>
      <x:c r="K4" s="80"/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 ht="26" customHeight="1">
      <x:c r="A5" s="101" t="str">
        <x:v>Сценарий</x:v>
      </x:c>
      <x:c r="B5" s="102" t="str">
        <x:v>CAPEX mult</x:v>
      </x:c>
      <x:c r="C5" s="102" t="str">
        <x:v>Revenue mult</x:v>
      </x:c>
      <x:c r="D5" s="102" t="str">
        <x:v>OPEX mult</x:v>
      </x:c>
      <x:c r="E5" s="102" t="str">
        <x:v>Total CAPEX</x:v>
      </x:c>
      <x:c r="F5" s="102" t="str">
        <x:v>Year 1 Revenue</x:v>
      </x:c>
      <x:c r="G5" s="102" t="str">
        <x:v>Year 1 EBITDA</x:v>
      </x:c>
      <x:c r="H5" s="103" t="str">
        <x:v>EBITDA margin</x:v>
      </x:c>
      <x:c r="I5" s="80"/>
      <x:c r="J5" s="80"/>
      <x:c r="K5" s="80"/>
      <x:c r="L5" s="80"/>
      <x:c r="M5" s="80"/>
      <x:c r="N5" s="80"/>
      <x:c r="O5" s="80"/>
      <x:c r="P5" s="80"/>
      <x:c r="Q5" s="80"/>
      <x:c r="R5" s="80"/>
      <x:c r="S5" s="80"/>
      <x:c r="T5" s="80"/>
      <x:c r="U5" s="80"/>
      <x:c r="V5" s="80"/>
      <x:c r="W5" s="80"/>
      <x:c r="X5" s="80"/>
      <x:c r="Y5" s="80"/>
      <x:c r="Z5" s="80"/>
      <x:c r="AA5" s="80"/>
      <x:c r="AB5" s="80"/>
      <x:c r="AC5" s="80"/>
      <x:c r="AD5" s="80"/>
      <x:c r="AE5" s="80"/>
      <x:c r="AF5" s="80"/>
      <x:c r="AG5" s="80"/>
      <x:c r="AH5" s="80"/>
      <x:c r="AI5" s="80"/>
      <x:c r="AJ5" s="80"/>
      <x:c r="AK5" s="80"/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0" t="str">
        <x:v>Downside</x:v>
      </x:c>
      <x:c r="B6" s="112" t="n">
        <x:v>1.15</x:v>
      </x:c>
      <x:c r="C6" s="112" t="n">
        <x:v>0.88</x:v>
      </x:c>
      <x:c r="D6" s="112" t="n">
        <x:v>1.1</x:v>
      </x:c>
      <x:c r="E6" s="98" t="n">
        <x:f>SUM('Build_CAPEX'!$H$5:$H$40)*B6</x:f>
        <x:v>205323689.37180236</x:v>
      </x:c>
      <x:c r="F6" s="98" t="n">
        <x:f>SUM('PnL_36M'!B$19:M$19)*C6</x:f>
        <x:v>35849658.73757407</x:v>
      </x:c>
      <x:c r="G6" s="98" t="n">
        <x:f>F6-SUM('Operating_OPEX'!B$63:M$63)*D6</x:f>
        <x:v>-40569.98026280105</x:v>
      </x:c>
      <x:c r="H6" s="110" t="n">
        <x:f>G6/F6</x:f>
        <x:v>-0.0011316699151805204</x:v>
      </x:c>
      <x:c r="I6" s="80"/>
      <x:c r="J6" s="80"/>
      <x:c r="K6" s="80"/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80" t="str">
        <x:v>Base</x:v>
      </x:c>
      <x:c r="B7" s="112" t="n">
        <x:v>1</x:v>
      </x:c>
      <x:c r="C7" s="112" t="n">
        <x:v>1</x:v>
      </x:c>
      <x:c r="D7" s="112" t="n">
        <x:v>1</x:v>
      </x:c>
      <x:c r="E7" s="98" t="n">
        <x:f>SUM('Build_CAPEX'!$H$5:$H$40)*B7</x:f>
        <x:v>178542338.58417597</x:v>
      </x:c>
      <x:c r="F7" s="98" t="n">
        <x:f>SUM('PnL_36M'!B$19:M$19)*C7</x:f>
        <x:v>40738248.56542508</x:v>
      </x:c>
      <x:c r="G7" s="98" t="n">
        <x:f>F7-SUM('Operating_OPEX'!B$63:M$63)*D7</x:f>
        <x:v>8110767.9128461145</x:v>
      </x:c>
      <x:c r="H7" s="110" t="n">
        <x:f>G7/F7</x:f>
        <x:v>0.19909466406785578</x:v>
      </x:c>
      <x:c r="I7" s="80"/>
      <x:c r="J7" s="80"/>
      <x:c r="K7" s="80"/>
      <x:c r="L7" s="80"/>
      <x:c r="M7" s="80"/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80" t="str">
        <x:v>Upside</x:v>
      </x:c>
      <x:c r="B8" s="112" t="n">
        <x:v>0.95</x:v>
      </x:c>
      <x:c r="C8" s="112" t="n">
        <x:v>1.12</x:v>
      </x:c>
      <x:c r="D8" s="112" t="n">
        <x:v>1.03</x:v>
      </x:c>
      <x:c r="E8" s="98" t="n">
        <x:f>SUM('Build_CAPEX'!$H$5:$H$40)*B8</x:f>
        <x:v>169615221.65496716</x:v>
      </x:c>
      <x:c r="F8" s="98" t="n">
        <x:f>SUM('PnL_36M'!B$19:M$19)*C8</x:f>
        <x:v>45626838.393276095</x:v>
      </x:c>
      <x:c r="G8" s="98" t="n">
        <x:f>F8-SUM('Operating_OPEX'!B$63:M$63)*D8</x:f>
        <x:v>12020533.321119756</x:v>
      </x:c>
      <x:c r="H8" s="110" t="n">
        <x:f>G8/F8</x:f>
        <x:v>0.26345312856240305</x:v>
      </x:c>
      <x:c r="I8" s="80"/>
      <x:c r="J8" s="80"/>
      <x:c r="K8" s="80"/>
      <x:c r="L8" s="80"/>
      <x:c r="M8" s="80"/>
      <x:c r="N8" s="80"/>
      <x:c r="O8" s="80"/>
      <x:c r="P8" s="80"/>
      <x:c r="Q8" s="80"/>
      <x:c r="R8" s="80"/>
      <x:c r="S8" s="80"/>
      <x:c r="T8" s="80"/>
      <x:c r="U8" s="80"/>
      <x:c r="V8" s="80"/>
      <x:c r="W8" s="80"/>
      <x:c r="X8" s="80"/>
      <x:c r="Y8" s="80"/>
      <x:c r="Z8" s="80"/>
      <x:c r="AA8" s="80"/>
      <x:c r="AB8" s="80"/>
      <x:c r="AC8" s="80"/>
      <x:c r="AD8" s="80"/>
      <x:c r="AE8" s="80"/>
      <x:c r="AF8" s="80"/>
      <x:c r="AG8" s="80"/>
      <x:c r="AH8" s="80"/>
      <x:c r="AI8" s="80"/>
      <x:c r="AJ8" s="80"/>
      <x:c r="AK8" s="80"/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</x:sheetData>
  <x:mergeCells>
    <x:mergeCell ref="A1:H1"/>
    <x:mergeCell ref="A2:H2"/>
  </x:mergeCell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28" hidden="0" customWidth="1"/>
  </x:cols>
  <x:sheetData>
    <x:row r="1" ht="32" customHeight="1">
      <x:c r="A1" s="4" t="str">
        <x:v>Checks &amp; controls</x:v>
      </x:c>
      <x:c r="B1" s="4"/>
      <x:c r="C1" s="4"/>
      <x:c r="D1" s="4"/>
      <x:c r="E1" s="4"/>
      <x:c r="F1" s="4"/>
      <x:c r="G1" s="4"/>
      <x:c r="H1" s="78"/>
      <x:c r="I1" s="78"/>
      <x:c r="J1" s="78"/>
      <x:c r="K1" s="78"/>
      <x:c r="L1" s="78"/>
      <x:c r="M1" s="78"/>
      <x:c r="N1" s="78"/>
      <x:c r="O1" s="78"/>
      <x:c r="P1" s="78"/>
      <x:c r="Q1" s="78"/>
      <x:c r="R1" s="78"/>
      <x:c r="S1" s="78"/>
      <x:c r="T1" s="78"/>
      <x:c r="U1" s="78"/>
      <x:c r="V1" s="78"/>
      <x:c r="W1" s="78"/>
      <x:c r="X1" s="78"/>
      <x:c r="Y1" s="78"/>
      <x:c r="Z1" s="78"/>
      <x:c r="AA1" s="78"/>
      <x:c r="AB1" s="78"/>
      <x:c r="AC1" s="78"/>
      <x:c r="AD1" s="78"/>
      <x:c r="AE1" s="78"/>
      <x:c r="AF1" s="78"/>
      <x:c r="AG1" s="78"/>
      <x:c r="AH1" s="78"/>
      <x:c r="AI1" s="78"/>
      <x:c r="AJ1" s="78"/>
      <x:c r="AK1" s="78"/>
      <x:c r="AL1" s="78"/>
      <x:c r="AM1" s="78"/>
      <x:c r="AN1" s="78"/>
      <x:c r="AO1" s="78"/>
      <x:c r="AP1" s="78"/>
      <x:c r="AQ1" s="78"/>
      <x:c r="AR1" s="78"/>
      <x:c r="AS1" s="78"/>
      <x:c r="AT1" s="78"/>
      <x:c r="AU1" s="78"/>
      <x:c r="AV1" s="78"/>
      <x:c r="AW1" s="78"/>
      <x:c r="AX1" s="78"/>
      <x:c r="AY1" s="78"/>
      <x:c r="AZ1" s="78"/>
    </x:row>
    <x:row r="2" ht="28" customHeight="1">
      <x:c r="A2" s="79" t="str">
        <x:v>PASS означает только механическую целостность модели, не подтверждение допущений.</x:v>
      </x:c>
      <x:c r="B2" s="79"/>
      <x:c r="C2" s="79"/>
      <x:c r="D2" s="79"/>
      <x:c r="E2" s="79"/>
      <x:c r="F2" s="79"/>
      <x:c r="G2" s="79"/>
      <x:c r="H2" s="80"/>
      <x:c r="I2" s="80"/>
      <x:c r="J2" s="80"/>
      <x:c r="K2" s="80"/>
      <x:c r="L2" s="80"/>
      <x:c r="M2" s="80"/>
      <x:c r="N2" s="80"/>
      <x:c r="O2" s="80"/>
      <x:c r="P2" s="80"/>
      <x:c r="Q2" s="80"/>
      <x:c r="R2" s="80"/>
      <x:c r="S2" s="80"/>
      <x:c r="T2" s="80"/>
      <x:c r="U2" s="80"/>
      <x:c r="V2" s="80"/>
      <x:c r="W2" s="80"/>
      <x:c r="X2" s="80"/>
      <x:c r="Y2" s="80"/>
      <x:c r="Z2" s="80"/>
      <x:c r="AA2" s="80"/>
      <x:c r="AB2" s="80"/>
      <x:c r="AC2" s="80"/>
      <x:c r="AD2" s="80"/>
      <x:c r="AE2" s="80"/>
      <x:c r="AF2" s="80"/>
      <x:c r="AG2" s="80"/>
      <x:c r="AH2" s="80"/>
      <x:c r="AI2" s="80"/>
      <x:c r="AJ2" s="80"/>
      <x:c r="AK2" s="80"/>
      <x:c r="AL2" s="80"/>
      <x:c r="AM2" s="80"/>
      <x:c r="AN2" s="80"/>
      <x:c r="AO2" s="80"/>
      <x:c r="AP2" s="80"/>
      <x:c r="AQ2" s="80"/>
      <x:c r="AR2" s="80"/>
      <x:c r="AS2" s="80"/>
      <x:c r="AT2" s="80"/>
      <x:c r="AU2" s="80"/>
      <x:c r="AV2" s="80"/>
      <x:c r="AW2" s="80"/>
      <x:c r="AX2" s="80"/>
      <x:c r="AY2" s="80"/>
      <x:c r="AZ2" s="80"/>
    </x:row>
    <x:row r="3">
      <x:c r="A3" s="80"/>
      <x:c r="B3" s="80"/>
      <x:c r="C3" s="80"/>
      <x:c r="D3" s="80"/>
      <x:c r="E3" s="80"/>
      <x:c r="F3" s="80"/>
      <x:c r="G3" s="80"/>
      <x:c r="H3" s="80"/>
      <x:c r="I3" s="80"/>
      <x:c r="J3" s="80"/>
      <x:c r="K3" s="80"/>
      <x:c r="L3" s="80"/>
      <x:c r="M3" s="80"/>
      <x:c r="N3" s="80"/>
      <x:c r="O3" s="80"/>
      <x:c r="P3" s="80"/>
      <x:c r="Q3" s="80"/>
      <x:c r="R3" s="80"/>
      <x:c r="S3" s="80"/>
      <x:c r="T3" s="80"/>
      <x:c r="U3" s="80"/>
      <x:c r="V3" s="80"/>
      <x:c r="W3" s="80"/>
      <x:c r="X3" s="80"/>
      <x:c r="Y3" s="80"/>
      <x:c r="Z3" s="80"/>
      <x:c r="AA3" s="80"/>
      <x:c r="AB3" s="80"/>
      <x:c r="AC3" s="80"/>
      <x:c r="AD3" s="80"/>
      <x:c r="AE3" s="80"/>
      <x:c r="AF3" s="80"/>
      <x:c r="AG3" s="80"/>
      <x:c r="AH3" s="80"/>
      <x:c r="AI3" s="80"/>
      <x:c r="AJ3" s="80"/>
      <x:c r="AK3" s="80"/>
      <x:c r="AL3" s="80"/>
      <x:c r="AM3" s="80"/>
      <x:c r="AN3" s="80"/>
      <x:c r="AO3" s="80"/>
      <x:c r="AP3" s="80"/>
      <x:c r="AQ3" s="80"/>
      <x:c r="AR3" s="80"/>
      <x:c r="AS3" s="80"/>
      <x:c r="AT3" s="80"/>
      <x:c r="AU3" s="80"/>
      <x:c r="AV3" s="80"/>
      <x:c r="AW3" s="80"/>
      <x:c r="AX3" s="80"/>
      <x:c r="AY3" s="80"/>
      <x:c r="AZ3" s="80"/>
    </x:row>
    <x:row r="4">
      <x:c r="A4" s="80"/>
      <x:c r="B4" s="80"/>
      <x:c r="C4" s="80"/>
      <x:c r="D4" s="80"/>
      <x:c r="E4" s="80"/>
      <x:c r="F4" s="80"/>
      <x:c r="G4" s="80"/>
      <x:c r="H4" s="80"/>
      <x:c r="I4" s="80"/>
      <x:c r="J4" s="80"/>
      <x:c r="K4" s="80"/>
      <x:c r="L4" s="80"/>
      <x:c r="M4" s="80"/>
      <x:c r="N4" s="80"/>
      <x:c r="O4" s="80"/>
      <x:c r="P4" s="80"/>
      <x:c r="Q4" s="80"/>
      <x:c r="R4" s="80"/>
      <x:c r="S4" s="80"/>
      <x:c r="T4" s="80"/>
      <x:c r="U4" s="80"/>
      <x:c r="V4" s="80"/>
      <x:c r="W4" s="80"/>
      <x:c r="X4" s="80"/>
      <x:c r="Y4" s="80"/>
      <x:c r="Z4" s="80"/>
      <x:c r="AA4" s="80"/>
      <x:c r="AB4" s="80"/>
      <x:c r="AC4" s="80"/>
      <x:c r="AD4" s="80"/>
      <x:c r="AE4" s="80"/>
      <x:c r="AF4" s="80"/>
      <x:c r="AG4" s="80"/>
      <x:c r="AH4" s="80"/>
      <x:c r="AI4" s="80"/>
      <x:c r="AJ4" s="80"/>
      <x:c r="AK4" s="80"/>
      <x:c r="AL4" s="80"/>
      <x:c r="AM4" s="80"/>
      <x:c r="AN4" s="80"/>
      <x:c r="AO4" s="80"/>
      <x:c r="AP4" s="80"/>
      <x:c r="AQ4" s="80"/>
      <x:c r="AR4" s="80"/>
      <x:c r="AS4" s="80"/>
      <x:c r="AT4" s="80"/>
      <x:c r="AU4" s="80"/>
      <x:c r="AV4" s="80"/>
      <x:c r="AW4" s="80"/>
      <x:c r="AX4" s="80"/>
      <x:c r="AY4" s="80"/>
      <x:c r="AZ4" s="80"/>
    </x:row>
    <x:row r="5" ht="26" customHeight="1">
      <x:c r="A5" s="101" t="str">
        <x:v>Check</x:v>
      </x:c>
      <x:c r="B5" s="102" t="str">
        <x:v>Actual</x:v>
      </x:c>
      <x:c r="C5" s="102" t="str">
        <x:v>Expected</x:v>
      </x:c>
      <x:c r="D5" s="102" t="str">
        <x:v>Difference</x:v>
      </x:c>
      <x:c r="E5" s="102" t="str">
        <x:v>Tolerance</x:v>
      </x:c>
      <x:c r="F5" s="102" t="str">
        <x:v>Status</x:v>
      </x:c>
      <x:c r="G5" s="103" t="str">
        <x:v>Where to fix</x:v>
      </x:c>
      <x:c r="H5" s="80"/>
      <x:c r="I5" s="80"/>
      <x:c r="J5" s="80"/>
      <x:c r="K5" s="80"/>
      <x:c r="L5" s="80"/>
      <x:c r="M5" s="80"/>
      <x:c r="N5" s="80"/>
      <x:c r="O5" s="80"/>
      <x:c r="P5" s="80"/>
      <x:c r="Q5" s="80"/>
      <x:c r="R5" s="80"/>
      <x:c r="S5" s="80"/>
      <x:c r="T5" s="80"/>
      <x:c r="U5" s="80"/>
      <x:c r="V5" s="80"/>
      <x:c r="W5" s="80"/>
      <x:c r="X5" s="80"/>
      <x:c r="Y5" s="80"/>
      <x:c r="Z5" s="80"/>
      <x:c r="AA5" s="80"/>
      <x:c r="AB5" s="80"/>
      <x:c r="AC5" s="80"/>
      <x:c r="AD5" s="80"/>
      <x:c r="AE5" s="80"/>
      <x:c r="AF5" s="80"/>
      <x:c r="AG5" s="80"/>
      <x:c r="AH5" s="80"/>
      <x:c r="AI5" s="80"/>
      <x:c r="AJ5" s="80"/>
      <x:c r="AK5" s="80"/>
      <x:c r="AL5" s="80"/>
      <x:c r="AM5" s="80"/>
      <x:c r="AN5" s="80"/>
      <x:c r="AO5" s="80"/>
      <x:c r="AP5" s="80"/>
      <x:c r="AQ5" s="80"/>
      <x:c r="AR5" s="80"/>
      <x:c r="AS5" s="80"/>
      <x:c r="AT5" s="80"/>
      <x:c r="AU5" s="80"/>
      <x:c r="AV5" s="80"/>
      <x:c r="AW5" s="80"/>
      <x:c r="AX5" s="80"/>
      <x:c r="AY5" s="80"/>
      <x:c r="AZ5" s="80"/>
    </x:row>
    <x:row r="6">
      <x:c r="A6" s="80" t="str">
        <x:v>CAPEX schedule ties</x:v>
      </x:c>
      <x:c r="B6" s="98" t="n">
        <x:f>SUM('Build_Schedule'!B$42:M$42)</x:f>
        <x:v>178542338.584176</x:v>
      </x:c>
      <x:c r="C6" s="98" t="n">
        <x:f>SUM('Build_CAPEX'!H$5:H$40)</x:f>
        <x:v>178542338.58417597</x:v>
      </x:c>
      <x:c r="D6" s="98" t="n">
        <x:f>B6-C6</x:f>
        <x:v>2.9802322387695312e-8</x:v>
      </x:c>
      <x:c r="E6" s="98" t="n">
        <x:v>1</x:v>
      </x:c>
      <x:c r="F6" s="80" t="str">
        <x:f>IF(ABS(D6)&lt;=E6,"OK","FAIL")</x:f>
        <x:v>OK</x:v>
      </x:c>
      <x:c r="G6" s="80" t="str">
        <x:v>Build_Schedule</x:v>
      </x:c>
      <x:c r="H6" s="80"/>
      <x:c r="I6" s="80"/>
      <x:c r="J6" s="80"/>
      <x:c r="K6" s="80"/>
      <x:c r="L6" s="80"/>
      <x:c r="M6" s="80"/>
      <x:c r="N6" s="80"/>
      <x:c r="O6" s="80"/>
      <x:c r="P6" s="80"/>
      <x:c r="Q6" s="80"/>
      <x:c r="R6" s="80"/>
      <x:c r="S6" s="80"/>
      <x:c r="T6" s="80"/>
      <x:c r="U6" s="80"/>
      <x:c r="V6" s="80"/>
      <x:c r="W6" s="80"/>
      <x:c r="X6" s="80"/>
      <x:c r="Y6" s="80"/>
      <x:c r="Z6" s="80"/>
      <x:c r="AA6" s="80"/>
      <x:c r="AB6" s="80"/>
      <x:c r="AC6" s="80"/>
      <x:c r="AD6" s="80"/>
      <x:c r="AE6" s="80"/>
      <x:c r="AF6" s="80"/>
      <x:c r="AG6" s="80"/>
      <x:c r="AH6" s="80"/>
      <x:c r="AI6" s="80"/>
      <x:c r="AJ6" s="80"/>
      <x:c r="AK6" s="80"/>
      <x:c r="AL6" s="80"/>
      <x:c r="AM6" s="80"/>
      <x:c r="AN6" s="80"/>
      <x:c r="AO6" s="80"/>
      <x:c r="AP6" s="80"/>
      <x:c r="AQ6" s="80"/>
      <x:c r="AR6" s="80"/>
      <x:c r="AS6" s="80"/>
      <x:c r="AT6" s="80"/>
      <x:c r="AU6" s="80"/>
      <x:c r="AV6" s="80"/>
      <x:c r="AW6" s="80"/>
      <x:c r="AX6" s="80"/>
      <x:c r="AY6" s="80"/>
      <x:c r="AZ6" s="80"/>
    </x:row>
    <x:row r="7">
      <x:c r="A7" s="80" t="str">
        <x:v>P&amp;L EBITDA ties</x:v>
      </x:c>
      <x:c r="B7" s="98" t="n">
        <x:f>SUM('PnL_36M'!B$25:AK$25)-SUM('PnL_36M'!B$19:AK$19)+SUM('PnL_36M'!B$24:AK$24)</x:f>
        <x:v>-1.4901161193847656e-8</x:v>
      </x:c>
      <x:c r="C7" s="98" t="n">
        <x:v>0</x:v>
      </x:c>
      <x:c r="D7" s="98" t="n">
        <x:f>B7-C7</x:f>
        <x:v>-1.4901161193847656e-8</x:v>
      </x:c>
      <x:c r="E7" s="98" t="n">
        <x:v>1</x:v>
      </x:c>
      <x:c r="F7" s="80" t="str">
        <x:f>IF(ABS(D7)&lt;=E7,"OK","FAIL")</x:f>
        <x:v>OK</x:v>
      </x:c>
      <x:c r="G7" s="80" t="str">
        <x:v>PnL_36M</x:v>
      </x:c>
      <x:c r="H7" s="80"/>
      <x:c r="I7" s="80"/>
      <x:c r="J7" s="80"/>
      <x:c r="K7" s="80"/>
      <x:c r="L7" s="80"/>
      <x:c r="M7" s="80"/>
      <x:c r="N7" s="80"/>
      <x:c r="O7" s="80"/>
      <x:c r="P7" s="80"/>
      <x:c r="Q7" s="80"/>
      <x:c r="R7" s="80"/>
      <x:c r="S7" s="80"/>
      <x:c r="T7" s="80"/>
      <x:c r="U7" s="80"/>
      <x:c r="V7" s="80"/>
      <x:c r="W7" s="80"/>
      <x:c r="X7" s="80"/>
      <x:c r="Y7" s="80"/>
      <x:c r="Z7" s="80"/>
      <x:c r="AA7" s="80"/>
      <x:c r="AB7" s="80"/>
      <x:c r="AC7" s="80"/>
      <x:c r="AD7" s="80"/>
      <x:c r="AE7" s="80"/>
      <x:c r="AF7" s="80"/>
      <x:c r="AG7" s="80"/>
      <x:c r="AH7" s="80"/>
      <x:c r="AI7" s="80"/>
      <x:c r="AJ7" s="80"/>
      <x:c r="AK7" s="80"/>
      <x:c r="AL7" s="80"/>
      <x:c r="AM7" s="80"/>
      <x:c r="AN7" s="80"/>
      <x:c r="AO7" s="80"/>
      <x:c r="AP7" s="80"/>
      <x:c r="AQ7" s="80"/>
      <x:c r="AR7" s="80"/>
      <x:c r="AS7" s="80"/>
      <x:c r="AT7" s="80"/>
      <x:c r="AU7" s="80"/>
      <x:c r="AV7" s="80"/>
      <x:c r="AW7" s="80"/>
      <x:c r="AX7" s="80"/>
      <x:c r="AY7" s="80"/>
      <x:c r="AZ7" s="80"/>
    </x:row>
    <x:row r="8">
      <x:c r="A8" s="80" t="str">
        <x:v>OPEX components tie</x:v>
      </x:c>
      <x:c r="B8" s="98" t="n">
        <x:f>SUM('Operating_OPEX'!B$63:AK$63)-SUM('Operating_OPEX'!B$31:AK$31)-SUM('Operating_OPEX'!B$39:AK$39)-SUM('Operating_OPEX'!B$48:AK$48)-SUM('Operating_OPEX'!B$61:AK$61)</x:f>
        <x:v>-2.421438694000244e-8</x:v>
      </x:c>
      <x:c r="C8" s="98" t="n">
        <x:v>0</x:v>
      </x:c>
      <x:c r="D8" s="98" t="n">
        <x:f>B8-C8</x:f>
        <x:v>-2.421438694000244e-8</x:v>
      </x:c>
      <x:c r="E8" s="98" t="n">
        <x:v>1</x:v>
      </x:c>
      <x:c r="F8" s="80" t="str">
        <x:f>IF(ABS(D8)&lt;=E8,"OK","FAIL")</x:f>
        <x:v>OK</x:v>
      </x:c>
      <x:c r="G8" s="80" t="str">
        <x:v>Operating_OPEX</x:v>
      </x:c>
      <x:c r="H8" s="80"/>
      <x:c r="I8" s="80"/>
      <x:c r="J8" s="80"/>
      <x:c r="K8" s="80"/>
      <x:c r="L8" s="80"/>
      <x:c r="M8" s="80"/>
      <x:c r="N8" s="80"/>
      <x:c r="O8" s="80"/>
      <x:c r="P8" s="80"/>
      <x:c r="Q8" s="80"/>
      <x:c r="R8" s="80"/>
      <x:c r="S8" s="80"/>
      <x:c r="T8" s="80"/>
      <x:c r="U8" s="80"/>
      <x:c r="V8" s="80"/>
      <x:c r="W8" s="80"/>
      <x:c r="X8" s="80"/>
      <x:c r="Y8" s="80"/>
      <x:c r="Z8" s="80"/>
      <x:c r="AA8" s="80"/>
      <x:c r="AB8" s="80"/>
      <x:c r="AC8" s="80"/>
      <x:c r="AD8" s="80"/>
      <x:c r="AE8" s="80"/>
      <x:c r="AF8" s="80"/>
      <x:c r="AG8" s="80"/>
      <x:c r="AH8" s="80"/>
      <x:c r="AI8" s="80"/>
      <x:c r="AJ8" s="80"/>
      <x:c r="AK8" s="80"/>
      <x:c r="AL8" s="80"/>
      <x:c r="AM8" s="80"/>
      <x:c r="AN8" s="80"/>
      <x:c r="AO8" s="80"/>
      <x:c r="AP8" s="80"/>
      <x:c r="AQ8" s="80"/>
      <x:c r="AR8" s="80"/>
      <x:c r="AS8" s="80"/>
      <x:c r="AT8" s="80"/>
      <x:c r="AU8" s="80"/>
      <x:c r="AV8" s="80"/>
      <x:c r="AW8" s="80"/>
      <x:c r="AX8" s="80"/>
      <x:c r="AY8" s="80"/>
      <x:c r="AZ8" s="80"/>
    </x:row>
    <x:row r="9">
      <x:c r="A9" s="80" t="str">
        <x:v>Cash flow roll-forward</x:v>
      </x:c>
      <x:c r="B9" s="98" t="n">
        <x:f>'Cash_Flow'!AW$14-SUM('Cash_Flow'!B$10:AW$10)</x:f>
        <x:v>0</x:v>
      </x:c>
      <x:c r="C9" s="98" t="n">
        <x:v>0</x:v>
      </x:c>
      <x:c r="D9" s="98" t="n">
        <x:f>B9-C9</x:f>
        <x:v>0</x:v>
      </x:c>
      <x:c r="E9" s="98" t="n">
        <x:v>1</x:v>
      </x:c>
      <x:c r="F9" s="80" t="str">
        <x:f>IF(ABS(D9)&lt;=E9,"OK","FAIL")</x:f>
        <x:v>OK</x:v>
      </x:c>
      <x:c r="G9" s="80" t="str">
        <x:v>Cash_Flow</x:v>
      </x:c>
      <x:c r="H9" s="80"/>
      <x:c r="I9" s="80"/>
      <x:c r="J9" s="80"/>
      <x:c r="K9" s="80"/>
      <x:c r="L9" s="80"/>
      <x:c r="M9" s="80"/>
      <x:c r="N9" s="80"/>
      <x:c r="O9" s="80"/>
      <x:c r="P9" s="80"/>
      <x:c r="Q9" s="80"/>
      <x:c r="R9" s="80"/>
      <x:c r="S9" s="80"/>
      <x:c r="T9" s="80"/>
      <x:c r="U9" s="80"/>
      <x:c r="V9" s="80"/>
      <x:c r="W9" s="80"/>
      <x:c r="X9" s="80"/>
      <x:c r="Y9" s="80"/>
      <x:c r="Z9" s="80"/>
      <x:c r="AA9" s="80"/>
      <x:c r="AB9" s="80"/>
      <x:c r="AC9" s="80"/>
      <x:c r="AD9" s="80"/>
      <x:c r="AE9" s="80"/>
      <x:c r="AF9" s="80"/>
      <x:c r="AG9" s="80"/>
      <x:c r="AH9" s="80"/>
      <x:c r="AI9" s="80"/>
      <x:c r="AJ9" s="80"/>
      <x:c r="AK9" s="80"/>
      <x:c r="AL9" s="80"/>
      <x:c r="AM9" s="80"/>
      <x:c r="AN9" s="80"/>
      <x:c r="AO9" s="80"/>
      <x:c r="AP9" s="80"/>
      <x:c r="AQ9" s="80"/>
      <x:c r="AR9" s="80"/>
      <x:c r="AS9" s="80"/>
      <x:c r="AT9" s="80"/>
      <x:c r="AU9" s="80"/>
      <x:c r="AV9" s="80"/>
      <x:c r="AW9" s="80"/>
      <x:c r="AX9" s="80"/>
      <x:c r="AY9" s="80"/>
      <x:c r="AZ9" s="80"/>
    </x:row>
    <x:row r="10">
      <x:c r="A10" s="80" t="str">
        <x:v>Channel shares = 100%</x:v>
      </x:c>
      <x:c r="B10" s="98" t="n">
        <x:f>SUM('Assumptions'!B$19:B$22)</x:f>
        <x:v>1</x:v>
      </x:c>
      <x:c r="C10" s="98" t="n">
        <x:v>1</x:v>
      </x:c>
      <x:c r="D10" s="98" t="n">
        <x:f>B10-C10</x:f>
        <x:v>0</x:v>
      </x:c>
      <x:c r="E10" s="98" t="n">
        <x:v>0.0001</x:v>
      </x:c>
      <x:c r="F10" s="80" t="str">
        <x:f>IF(ABS(D10)&lt;=E10,"OK","FAIL")</x:f>
        <x:v>OK</x:v>
      </x:c>
      <x:c r="G10" s="80" t="str">
        <x:v>Assumptions</x:v>
      </x:c>
      <x:c r="H10" s="80"/>
      <x:c r="I10" s="80"/>
      <x:c r="J10" s="80"/>
      <x:c r="K10" s="80"/>
      <x:c r="L10" s="80"/>
      <x:c r="M10" s="80"/>
      <x:c r="N10" s="80"/>
      <x:c r="O10" s="80"/>
      <x:c r="P10" s="80"/>
      <x:c r="Q10" s="80"/>
      <x:c r="R10" s="80"/>
      <x:c r="S10" s="80"/>
      <x:c r="T10" s="80"/>
      <x:c r="U10" s="80"/>
      <x:c r="V10" s="80"/>
      <x:c r="W10" s="80"/>
      <x:c r="X10" s="80"/>
      <x:c r="Y10" s="80"/>
      <x:c r="Z10" s="80"/>
      <x:c r="AA10" s="80"/>
      <x:c r="AB10" s="80"/>
      <x:c r="AC10" s="80"/>
      <x:c r="AD10" s="80"/>
      <x:c r="AE10" s="80"/>
      <x:c r="AF10" s="80"/>
      <x:c r="AG10" s="80"/>
      <x:c r="AH10" s="80"/>
      <x:c r="AI10" s="80"/>
      <x:c r="AJ10" s="80"/>
      <x:c r="AK10" s="80"/>
      <x:c r="AL10" s="80"/>
      <x:c r="AM10" s="80"/>
      <x:c r="AN10" s="80"/>
      <x:c r="AO10" s="80"/>
      <x:c r="AP10" s="80"/>
      <x:c r="AQ10" s="80"/>
      <x:c r="AR10" s="80"/>
      <x:c r="AS10" s="80"/>
      <x:c r="AT10" s="80"/>
      <x:c r="AU10" s="80"/>
      <x:c r="AV10" s="80"/>
      <x:c r="AW10" s="80"/>
      <x:c r="AX10" s="80"/>
      <x:c r="AY10" s="80"/>
      <x:c r="AZ10" s="80"/>
    </x:row>
    <x:row r="11">
      <x:c r="A11" s="80" t="str">
        <x:v>Portfolio valid</x:v>
      </x:c>
      <x:c r="B11" s="98" t="n">
        <x:f>IF(OR('Assumptions'!B$5=7,'Assumptions'!B$5=9,'Assumptions'!B$5=12),1,0)</x:f>
        <x:v>1</x:v>
      </x:c>
      <x:c r="C11" s="98" t="n">
        <x:v>1</x:v>
      </x:c>
      <x:c r="D11" s="98" t="n">
        <x:f>B11-C11</x:f>
        <x:v>0</x:v>
      </x:c>
      <x:c r="E11" s="98" t="n">
        <x:v>0</x:v>
      </x:c>
      <x:c r="F11" s="80" t="str">
        <x:f>IF(ABS(D11)&lt;=E11,"OK","FAIL")</x:f>
        <x:v>OK</x:v>
      </x:c>
      <x:c r="G11" s="80" t="str">
        <x:v>Assumptions</x:v>
      </x:c>
      <x:c r="H11" s="80"/>
      <x:c r="I11" s="80"/>
      <x:c r="J11" s="80"/>
      <x:c r="K11" s="80"/>
      <x:c r="L11" s="80"/>
      <x:c r="M11" s="80"/>
      <x:c r="N11" s="80"/>
      <x:c r="O11" s="80"/>
      <x:c r="P11" s="80"/>
      <x:c r="Q11" s="80"/>
      <x:c r="R11" s="80"/>
      <x:c r="S11" s="80"/>
      <x:c r="T11" s="80"/>
      <x:c r="U11" s="80"/>
      <x:c r="V11" s="80"/>
      <x:c r="W11" s="80"/>
      <x:c r="X11" s="80"/>
      <x:c r="Y11" s="80"/>
      <x:c r="Z11" s="80"/>
      <x:c r="AA11" s="80"/>
      <x:c r="AB11" s="80"/>
      <x:c r="AC11" s="80"/>
      <x:c r="AD11" s="80"/>
      <x:c r="AE11" s="80"/>
      <x:c r="AF11" s="80"/>
      <x:c r="AG11" s="80"/>
      <x:c r="AH11" s="80"/>
      <x:c r="AI11" s="80"/>
      <x:c r="AJ11" s="80"/>
      <x:c r="AK11" s="80"/>
      <x:c r="AL11" s="80"/>
      <x:c r="AM11" s="80"/>
      <x:c r="AN11" s="80"/>
      <x:c r="AO11" s="80"/>
      <x:c r="AP11" s="80"/>
      <x:c r="AQ11" s="80"/>
      <x:c r="AR11" s="80"/>
      <x:c r="AS11" s="80"/>
      <x:c r="AT11" s="80"/>
      <x:c r="AU11" s="80"/>
      <x:c r="AV11" s="80"/>
      <x:c r="AW11" s="80"/>
      <x:c r="AX11" s="80"/>
      <x:c r="AY11" s="80"/>
      <x:c r="AZ11" s="80"/>
    </x:row>
    <x:row r="12">
      <x:c r="A12" s="80"/>
      <x:c r="B12" s="80"/>
      <x:c r="C12" s="80"/>
      <x:c r="D12" s="80"/>
      <x:c r="E12" s="80"/>
      <x:c r="F12" s="80"/>
      <x:c r="G12" s="80"/>
      <x:c r="H12" s="80"/>
      <x:c r="I12" s="80"/>
      <x:c r="J12" s="80"/>
      <x:c r="K12" s="80"/>
      <x:c r="L12" s="80"/>
      <x:c r="M12" s="80"/>
      <x:c r="N12" s="80"/>
      <x:c r="O12" s="80"/>
      <x:c r="P12" s="80"/>
      <x:c r="Q12" s="80"/>
      <x:c r="R12" s="80"/>
      <x:c r="S12" s="80"/>
      <x:c r="T12" s="80"/>
      <x:c r="U12" s="80"/>
      <x:c r="V12" s="80"/>
      <x:c r="W12" s="80"/>
      <x:c r="X12" s="80"/>
      <x:c r="Y12" s="80"/>
      <x:c r="Z12" s="80"/>
      <x:c r="AA12" s="80"/>
      <x:c r="AB12" s="80"/>
      <x:c r="AC12" s="80"/>
      <x:c r="AD12" s="80"/>
      <x:c r="AE12" s="80"/>
      <x:c r="AF12" s="80"/>
      <x:c r="AG12" s="80"/>
      <x:c r="AH12" s="80"/>
      <x:c r="AI12" s="80"/>
      <x:c r="AJ12" s="80"/>
      <x:c r="AK12" s="80"/>
      <x:c r="AL12" s="80"/>
      <x:c r="AM12" s="80"/>
      <x:c r="AN12" s="80"/>
      <x:c r="AO12" s="80"/>
      <x:c r="AP12" s="80"/>
      <x:c r="AQ12" s="80"/>
      <x:c r="AR12" s="80"/>
      <x:c r="AS12" s="80"/>
      <x:c r="AT12" s="80"/>
      <x:c r="AU12" s="80"/>
      <x:c r="AV12" s="80"/>
      <x:c r="AW12" s="80"/>
      <x:c r="AX12" s="80"/>
      <x:c r="AY12" s="80"/>
      <x:c r="AZ12" s="80"/>
    </x:row>
    <x:row r="13">
      <x:c r="A13" s="99" t="str">
        <x:v>MODEL STATUS</x:v>
      </x:c>
      <x:c r="B13" s="99" t="str">
        <x:f>IF(COUNTIF(F6:F11,"FAIL")=0,"PASS","FAIL")</x:f>
        <x:v>PASS</x:v>
      </x:c>
      <x:c r="C13" s="80"/>
      <x:c r="D13" s="80"/>
      <x:c r="E13" s="80"/>
      <x:c r="F13" s="80"/>
      <x:c r="G13" s="80"/>
      <x:c r="H13" s="80"/>
      <x:c r="I13" s="80"/>
      <x:c r="J13" s="80"/>
      <x:c r="K13" s="80"/>
      <x:c r="L13" s="80"/>
      <x:c r="M13" s="80"/>
      <x:c r="N13" s="80"/>
      <x:c r="O13" s="80"/>
      <x:c r="P13" s="80"/>
      <x:c r="Q13" s="80"/>
      <x:c r="R13" s="80"/>
      <x:c r="S13" s="80"/>
      <x:c r="T13" s="80"/>
      <x:c r="U13" s="80"/>
      <x:c r="V13" s="80"/>
      <x:c r="W13" s="80"/>
      <x:c r="X13" s="80"/>
      <x:c r="Y13" s="80"/>
      <x:c r="Z13" s="80"/>
      <x:c r="AA13" s="80"/>
      <x:c r="AB13" s="80"/>
      <x:c r="AC13" s="80"/>
      <x:c r="AD13" s="80"/>
      <x:c r="AE13" s="80"/>
      <x:c r="AF13" s="80"/>
      <x:c r="AG13" s="80"/>
      <x:c r="AH13" s="80"/>
      <x:c r="AI13" s="80"/>
      <x:c r="AJ13" s="80"/>
      <x:c r="AK13" s="80"/>
      <x:c r="AL13" s="80"/>
      <x:c r="AM13" s="80"/>
      <x:c r="AN13" s="80"/>
      <x:c r="AO13" s="80"/>
      <x:c r="AP13" s="80"/>
      <x:c r="AQ13" s="80"/>
      <x:c r="AR13" s="80"/>
      <x:c r="AS13" s="80"/>
      <x:c r="AT13" s="80"/>
      <x:c r="AU13" s="80"/>
      <x:c r="AV13" s="80"/>
      <x:c r="AW13" s="80"/>
      <x:c r="AX13" s="80"/>
      <x:c r="AY13" s="80"/>
      <x:c r="AZ13" s="80"/>
    </x:row>
    <x:row r="14">
      <x:c r="A14" s="80" t="str">
        <x:v>Input evidence</x:v>
      </x:c>
      <x:c r="B14" s="80" t="str">
        <x:v>PARTIAL — public prices only; RFQ required</x:v>
      </x:c>
      <x:c r="C14" s="80"/>
      <x:c r="D14" s="80"/>
      <x:c r="E14" s="80"/>
      <x:c r="F14" s="80"/>
      <x:c r="G14" s="80"/>
      <x:c r="H14" s="80"/>
      <x:c r="I14" s="80"/>
      <x:c r="J14" s="80"/>
      <x:c r="K14" s="80"/>
      <x:c r="L14" s="80"/>
      <x:c r="M14" s="80"/>
      <x:c r="N14" s="80"/>
      <x:c r="O14" s="80"/>
      <x:c r="P14" s="80"/>
      <x:c r="Q14" s="80"/>
      <x:c r="R14" s="80"/>
      <x:c r="S14" s="80"/>
      <x:c r="T14" s="80"/>
      <x:c r="U14" s="80"/>
      <x:c r="V14" s="80"/>
      <x:c r="W14" s="80"/>
      <x:c r="X14" s="80"/>
      <x:c r="Y14" s="80"/>
      <x:c r="Z14" s="80"/>
      <x:c r="AA14" s="80"/>
      <x:c r="AB14" s="80"/>
      <x:c r="AC14" s="80"/>
      <x:c r="AD14" s="80"/>
      <x:c r="AE14" s="80"/>
      <x:c r="AF14" s="80"/>
      <x:c r="AG14" s="80"/>
      <x:c r="AH14" s="80"/>
      <x:c r="AI14" s="80"/>
      <x:c r="AJ14" s="80"/>
      <x:c r="AK14" s="80"/>
      <x:c r="AL14" s="80"/>
      <x:c r="AM14" s="80"/>
      <x:c r="AN14" s="80"/>
      <x:c r="AO14" s="80"/>
      <x:c r="AP14" s="80"/>
      <x:c r="AQ14" s="80"/>
      <x:c r="AR14" s="80"/>
      <x:c r="AS14" s="80"/>
      <x:c r="AT14" s="80"/>
      <x:c r="AU14" s="80"/>
      <x:c r="AV14" s="80"/>
      <x:c r="AW14" s="80"/>
      <x:c r="AX14" s="80"/>
      <x:c r="AY14" s="80"/>
      <x:c r="AZ14" s="80"/>
    </x:row>
  </x:sheetData>
  <x:mergeCells>
    <x:mergeCell ref="A1:G1"/>
    <x:mergeCell ref="A2:G2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9" hidden="0" customWidth="1"/>
    <x:col min="2" max="2" width="28" hidden="0" customWidth="1"/>
    <x:col min="3" max="3" width="14" hidden="0" customWidth="1"/>
    <x:col min="4" max="4" width="14" hidden="0" customWidth="1"/>
    <x:col min="5" max="5" width="18" hidden="0" customWidth="1"/>
    <x:col min="6" max="6" width="18" hidden="0" customWidth="1"/>
    <x:col min="7" max="7" width="18" hidden="0" customWidth="1"/>
    <x:col min="8" max="8" width="55" hidden="0" customWidth="1"/>
    <x:col min="9" max="9" width="42" hidden="0" customWidth="1"/>
  </x:cols>
  <x:sheetData>
    <x:row r="1" ht="32" customHeight="1">
      <x:c r="A1" s="4" t="str">
        <x:v>Sources &amp; audit trail v0.3</x:v>
      </x:c>
      <x:c r="B1" s="4"/>
      <x:c r="C1" s="4"/>
      <x:c r="D1" s="4"/>
      <x:c r="E1" s="4"/>
      <x:c r="F1" s="4"/>
      <x:c r="G1" s="4"/>
      <x:c r="H1" s="64"/>
      <x:c r="I1" s="64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  <x:c r="AA1" s="1"/>
      <x:c r="AB1" s="1"/>
      <x:c r="AC1" s="1"/>
      <x:c r="AD1" s="1"/>
      <x:c r="AE1" s="1"/>
      <x:c r="AF1" s="1"/>
      <x:c r="AG1" s="1"/>
      <x:c r="AH1" s="1"/>
      <x:c r="AI1" s="1"/>
      <x:c r="AJ1" s="1"/>
      <x:c r="AK1" s="1"/>
      <x:c r="AL1" s="1"/>
      <x:c r="AM1" s="1"/>
      <x:c r="AN1" s="1"/>
      <x:c r="AO1" s="1"/>
      <x:c r="AP1" s="1"/>
      <x:c r="AQ1" s="1"/>
      <x:c r="AR1" s="1"/>
      <x:c r="AS1" s="1"/>
      <x:c r="AT1" s="1"/>
      <x:c r="AU1" s="1"/>
      <x:c r="AV1" s="1"/>
      <x:c r="AW1" s="1"/>
      <x:c r="AX1" s="1"/>
      <x:c r="AY1" s="1"/>
      <x:c r="AZ1" s="1"/>
    </x:row>
    <x:row r="2" ht="28" customHeight="1">
      <x:c r="A2" s="7" t="str">
        <x:v>Retail snapshot and commercial assumptions fixed on 2026-07-16. Dynamic marketplace prices require SKU freeze before PO.</x:v>
      </x:c>
      <x:c r="B2" s="7"/>
      <x:c r="C2" s="7"/>
      <x:c r="D2" s="7"/>
      <x:c r="E2" s="7"/>
      <x:c r="F2" s="7"/>
      <x:c r="G2" s="7"/>
      <x:c r="H2" s="7"/>
      <x:c r="I2" s="7"/>
    </x:row>
    <x:row r="4" ht="26" customHeight="1">
      <x:c r="A4" s="21" t="str">
        <x:v>ID</x:v>
      </x:c>
      <x:c r="B4" s="22" t="str">
        <x:v>Item</x:v>
      </x:c>
      <x:c r="C4" s="22" t="str">
        <x:v>Value</x:v>
      </x:c>
      <x:c r="D4" s="22" t="str">
        <x:v>Units</x:v>
      </x:c>
      <x:c r="E4" s="22" t="str">
        <x:v>As of</x:v>
      </x:c>
      <x:c r="F4" s="22" t="str">
        <x:v>Status</x:v>
      </x:c>
      <x:c r="G4" s="22" t="str">
        <x:v>Source</x:v>
      </x:c>
      <x:c r="H4" s="22" t="str">
        <x:v>URL / ref</x:v>
      </x:c>
      <x:c r="I4" s="23" t="str">
        <x:v>Notes</x:v>
      </x:c>
    </x:row>
    <x:row r="5">
      <x:c r="A5" t="str">
        <x:v>S01</x:v>
      </x:c>
      <x:c r="B5" t="str">
        <x:v>MODERN 42,5</x:v>
      </x:c>
      <x:c r="C5" s="32" t="n">
        <x:v>1930000</x:v>
      </x:c>
      <x:c r="D5" t="str">
        <x:v>₽/шт.</x:v>
      </x:c>
      <x:c r="E5" t="str">
        <x:v>2026-07-15</x:v>
      </x:c>
      <x:c r="F5" t="str">
        <x:v>PUBLIC PRICE</x:v>
      </x:c>
      <x:c r="G5" t="str">
        <x:v>DP-Module</x:v>
      </x:c>
      <x:c r="H5" s="34" t="str">
        <x:v>https://dp-m.ru/modern/tproduct/644444137-820338274761-modern-425</x:v>
      </x:c>
      <x:c r="I5" t="str">
        <x:v>Дом, 42,5 м²</x:v>
      </x:c>
    </x:row>
    <x:row r="6">
      <x:c r="A6" t="str">
        <x:v>S02</x:v>
      </x:c>
      <x:c r="B6" t="str">
        <x:v>MODERN 60</x:v>
      </x:c>
      <x:c r="C6" s="32" t="n">
        <x:v>2295000</x:v>
      </x:c>
      <x:c r="D6" t="str">
        <x:v>₽/шт.</x:v>
      </x:c>
      <x:c r="E6" t="str">
        <x:v>2026-07-15</x:v>
      </x:c>
      <x:c r="F6" t="str">
        <x:v>PUBLIC PRICE</x:v>
      </x:c>
      <x:c r="G6" t="str">
        <x:v>DP-Module</x:v>
      </x:c>
      <x:c r="H6" s="34" t="str">
        <x:v>https://dp-m.ru/modern/tproduct/644444137-833844620081-modern-60</x:v>
      </x:c>
      <x:c r="I6" t="str">
        <x:v>Дом, 60 м²</x:v>
      </x:c>
    </x:row>
    <x:row r="7">
      <x:c r="A7" t="str">
        <x:v>S03</x:v>
      </x:c>
      <x:c r="B7" t="str">
        <x:v>MODERN 135</x:v>
      </x:c>
      <x:c r="C7" s="32" t="n">
        <x:v>4900000</x:v>
      </x:c>
      <x:c r="D7" t="str">
        <x:v>₽/шт.</x:v>
      </x:c>
      <x:c r="E7" t="str">
        <x:v>2026-07-15</x:v>
      </x:c>
      <x:c r="F7" t="str">
        <x:v>PUBLIC PRICE</x:v>
      </x:c>
      <x:c r="G7" t="str">
        <x:v>DP-Module</x:v>
      </x:c>
      <x:c r="H7" s="34" t="str">
        <x:v>https://dp-m.ru/modern/tproduct/644444137-273720165962-modern-135</x:v>
      </x:c>
      <x:c r="I7" t="str">
        <x:v>Дом, 135 м²</x:v>
      </x:c>
    </x:row>
    <x:row r="8">
      <x:c r="A8" t="str">
        <x:v>S04</x:v>
      </x:c>
      <x:c r="B8" t="str">
        <x:v>Nord Modern 1</x:v>
      </x:c>
      <x:c r="C8" s="32" t="n">
        <x:v>1005000</x:v>
      </x:c>
      <x:c r="D8" t="str">
        <x:v>₽/шт.</x:v>
      </x:c>
      <x:c r="E8" t="str">
        <x:v>2026-07-15</x:v>
      </x:c>
      <x:c r="F8" t="str">
        <x:v>PUBLIC PRICE</x:v>
      </x:c>
      <x:c r="G8" t="str">
        <x:v>DP-Module</x:v>
      </x:c>
      <x:c r="H8" s="34" t="str">
        <x:v>https://dp-m.ru/nordmodern/tproduct/644834402-953653019151-nord-modern-1</x:v>
      </x:c>
      <x:c r="I8" t="str">
        <x:v>Баня, 15 м²</x:v>
      </x:c>
    </x:row>
    <x:row r="9">
      <x:c r="A9" t="str">
        <x:v>S05</x:v>
      </x:c>
      <x:c r="B9" t="str">
        <x:v>Nord Skandi 3</x:v>
      </x:c>
      <x:c r="C9" s="32" t="n">
        <x:v>1778000</x:v>
      </x:c>
      <x:c r="D9" t="str">
        <x:v>₽/шт.</x:v>
      </x:c>
      <x:c r="E9" t="str">
        <x:v>2026-07-15</x:v>
      </x:c>
      <x:c r="F9" t="str">
        <x:v>PUBLIC PRICE</x:v>
      </x:c>
      <x:c r="G9" t="str">
        <x:v>DP-Module</x:v>
      </x:c>
      <x:c r="H9" s="34" t="str">
        <x:v>https://dp-m.ru/bani-landing/tproduct/530557005-647187912901-nord-skandi-3</x:v>
      </x:c>
      <x:c r="I9" t="str">
        <x:v>Баня, 45 м²</x:v>
      </x:c>
    </x:row>
    <x:row r="10">
      <x:c r="A10" t="str">
        <x:v>S06</x:v>
      </x:c>
      <x:c r="B10" t="str">
        <x:v>Чан Junior</x:v>
      </x:c>
      <x:c r="C10" s="32" t="n">
        <x:v>145000</x:v>
      </x:c>
      <x:c r="D10" t="str">
        <x:v>₽/шт.</x:v>
      </x:c>
      <x:c r="E10" t="str">
        <x:v>2026-07-15</x:v>
      </x:c>
      <x:c r="F10" t="str">
        <x:v>PUBLIC PRICE</x:v>
      </x:c>
      <x:c r="G10" t="str">
        <x:v>Ронни</x:v>
      </x:c>
      <x:c r="H10" s="34" t="str">
        <x:v>https://r-chan.ru/junior</x:v>
      </x:c>
      <x:c r="I10" t="str">
        <x:v>3–4 человека</x:v>
      </x:c>
    </x:row>
    <x:row r="11">
      <x:c r="A11" t="str">
        <x:v>S07</x:v>
      </x:c>
      <x:c r="B11" t="str">
        <x:v>Чан Standi</x:v>
      </x:c>
      <x:c r="C11" s="32" t="n">
        <x:v>185000</x:v>
      </x:c>
      <x:c r="D11" t="str">
        <x:v>₽/шт.</x:v>
      </x:c>
      <x:c r="E11" t="str">
        <x:v>2026-07-15</x:v>
      </x:c>
      <x:c r="F11" t="str">
        <x:v>PUBLIC PRICE</x:v>
      </x:c>
      <x:c r="G11" t="str">
        <x:v>Ронни</x:v>
      </x:c>
      <x:c r="H11" s="34" t="str">
        <x:v>https://r-chan.ru/standi</x:v>
      </x:c>
      <x:c r="I11" t="str">
        <x:v>4–6 человек</x:v>
      </x:c>
    </x:row>
    <x:row r="12">
      <x:c r="A12" t="str">
        <x:v>S08</x:v>
      </x:c>
      <x:c r="B12" t="str">
        <x:v>Остальной Build CAPEX</x:v>
      </x:c>
      <x:c r="C12" s="32"/>
      <x:c r="D12" t="str">
        <x:v>₽</x:v>
      </x:c>
      <x:c r="E12" t="str">
        <x:v>2026-07-15</x:v>
      </x:c>
      <x:c r="F12" t="str">
        <x:v>ASSUMPTION</x:v>
      </x:c>
      <x:c r="G12" t="str">
        <x:v>Owner model</x:v>
      </x:c>
      <x:c r="H12" s="34" t="str">
        <x:v>RFQ REQUIRED</x:v>
      </x:c>
      <x:c r="I12" t="str">
        <x:v>Нужны BoD v0.2 и 3 сопоставимых КП</x:v>
      </x:c>
    </x:row>
    <x:row r="13">
      <x:c r="A13" t="str">
        <x:v>S09</x:v>
      </x:c>
      <x:c r="B13" t="str">
        <x:v>Operating OPEX</x:v>
      </x:c>
      <x:c r="C13" s="32"/>
      <x:c r="D13" t="str">
        <x:v>₽/driver</x:v>
      </x:c>
      <x:c r="E13" t="str">
        <x:v>2026-07-15</x:v>
      </x:c>
      <x:c r="F13" t="str">
        <x:v>ASSUMPTION</x:v>
      </x:c>
      <x:c r="G13" t="str">
        <x:v>Owner model</x:v>
      </x:c>
      <x:c r="H13" s="34" t="str">
        <x:v>OPERATIONS PLAN REQUIRED</x:v>
      </x:c>
      <x:c r="I13" t="str">
        <x:v>Нужны staffing, tariffs, norms and contracts</x:v>
      </x:c>
    </x:row>
    <x:row r="14">
      <x:c r="A14" t="str">
        <x:v>S10</x:v>
      </x:c>
      <x:c r="B14" t="str">
        <x:v>Procurement v0.2</x:v>
      </x:c>
      <x:c r="C14"/>
      <x:c r="D14" t="str">
        <x:v>₽</x:v>
      </x:c>
      <x:c r="E14" t="str">
        <x:v>2026-07-16</x:v>
      </x:c>
      <x:c r="F14" t="str">
        <x:v>RETAIL SNAPSHOT</x:v>
      </x:c>
      <x:c r="G14" t="str">
        <x:v>Лемана ПРО / Ozon / Wildberries</x:v>
      </x:c>
      <x:c r="H14" t="str">
        <x:v>Procurement_v02</x:v>
      </x:c>
      <x:c r="I14" t="str">
        <x:v>95 one-time + 30 recurring rows</x:v>
      </x:c>
    </x:row>
    <x:row r="15">
      <x:c r="A15" t="str">
        <x:v>S11</x:v>
      </x:c>
      <x:c r="B15" t="str">
        <x:v>Commercial catalogue v0.1</x:v>
      </x:c>
      <x:c r="C15"/>
      <x:c r="D15" t="str">
        <x:v>₽</x:v>
      </x:c>
      <x:c r="E15" t="str">
        <x:v>2026-07-16</x:v>
      </x:c>
      <x:c r="F15" t="str">
        <x:v>ASSUMPTION</x:v>
      </x:c>
      <x:c r="G15" t="str">
        <x:v>Owner model</x:v>
      </x:c>
      <x:c r="H15" t="str">
        <x:v>Commercial_Rates</x:v>
      </x:c>
      <x:c r="I15" t="str">
        <x:v>G1 WTP test required</x:v>
      </x:c>
    </x:row>
    <x:row r="16">
      <x:c r="A16" t="str">
        <x:v>S12</x:v>
      </x:c>
      <x:c r="B16" t="str">
        <x:v>Investment costs v0.3</x:v>
      </x:c>
      <x:c r="C16"/>
      <x:c r="D16" t="str">
        <x:v>₽</x:v>
      </x:c>
      <x:c r="E16" t="str">
        <x:v>2026-07-16</x:v>
      </x:c>
      <x:c r="F16" t="str">
        <x:v>CALCULATION</x:v>
      </x:c>
      <x:c r="G16" t="str">
        <x:v>Owner model</x:v>
      </x:c>
      <x:c r="H16" t="str">
        <x:v>Build_CAPEX</x:v>
      </x:c>
      <x:c r="I16" t="str">
        <x:v>Land excluded</x:v>
      </x:c>
    </x:row>
    <x:row r="17">
      <x:c r="A17" t="str">
        <x:v>S13</x:v>
      </x:c>
      <x:c r="B17" t="str">
        <x:v>Financial audit v0.3</x:v>
      </x:c>
      <x:c r="C17"/>
      <x:c r="D17" t="str">
        <x:v>₽</x:v>
      </x:c>
      <x:c r="E17" t="str">
        <x:v>2026-07-16</x:v>
      </x:c>
      <x:c r="F17" t="str">
        <x:v>CALCULATION</x:v>
      </x:c>
      <x:c r="G17" t="str">
        <x:v>Owner model</x:v>
      </x:c>
      <x:c r="H17" t="str">
        <x:v>Audit_v03</x:v>
      </x:c>
      <x:c r="I17" t="str">
        <x:v>Exact website parity</x:v>
      </x:c>
    </x:row>
    <x:row r="18">
      <x:c r="A18" t="str">
        <x:v>S14</x:v>
      </x:c>
      <x:c r="B18" t="str">
        <x:v>Marketplace caveat</x:v>
      </x:c>
      <x:c r="C18"/>
      <x:c r="D18"/>
      <x:c r="E18" t="str">
        <x:v>2026-07-16</x:v>
      </x:c>
      <x:c r="F18" t="str">
        <x:v>VERIFY BEFORE PO</x:v>
      </x:c>
      <x:c r="G18" t="str">
        <x:v>Owner procurement</x:v>
      </x:c>
      <x:c r="H18" t="str">
        <x:v>Procurement_v02</x:v>
      </x:c>
      <x:c r="I18" t="str">
        <x:v>WB search URLs are not frozen SKU cards</x:v>
      </x:c>
    </x:row>
  </x:sheetData>
  <x:mergeCells>
    <x:mergeCell ref="A1:I1"/>
    <x:mergeCell ref="A2:I2"/>
  </x:mergeCells>
  <x:pageMargins left="0.7" right="0.7" top="0.75" bottom="0.75" header="0.3" footer="0.3"/>
  <x:tableParts count="1">
    <x:tablePart xmlns:r="http://schemas.openxmlformats.org/officeDocument/2006/relationships" r:id="R22bb1176dd3f4e3f"/>
  </x:tableParts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.25" hidden="0" customWidth="1"/>
    <x:col min="2" max="2" width="18.1299991607666" hidden="0" customWidth="1"/>
    <x:col min="3" max="3" width="20" hidden="0" customWidth="1"/>
    <x:col min="4" max="4" width="15" hidden="0" customWidth="1"/>
    <x:col min="5" max="5" width="18.75" hidden="0" customWidth="1"/>
    <x:col min="6" max="6" width="14.380000114440918" hidden="0" customWidth="1"/>
    <x:col min="7" max="7" width="12.5" hidden="0" customWidth="1"/>
    <x:col min="8" max="8" width="17.5" hidden="0" customWidth="1"/>
    <x:col min="9" max="9" width="15.630000114440918" hidden="0" customWidth="1"/>
  </x:cols>
  <x:sheetData>
    <x:row r="1" ht="19.200000762939453" hidden="0" customHeight="1">
      <x:c r="A1" s="126" t="str">
        <x:v>Commercial catalogue v0.1 — recommended launch prices</x:v>
      </x:c>
      <x:c r="B1" s="126"/>
      <x:c r="C1" s="126"/>
      <x:c r="D1" s="126"/>
      <x:c r="E1" s="126"/>
      <x:c r="F1" s="126"/>
      <x:c r="G1" s="126"/>
      <x:c r="H1" s="126"/>
      <x:c r="I1" s="126"/>
    </x:row>
    <x:row r="2" ht="15" hidden="0" customHeight="1">
      <x:c r="A2" t="str">
        <x:v>Тарифы требуют проверки willingness-to-pay на G1. Все цены в рублях; себестоимость — прямая, без fixed OPEX.</x:v>
      </x:c>
    </x:row>
    <x:row r="3"/>
    <x:row r="4" ht="26.399999618530273" hidden="0" customHeight="1">
      <x:c r="A4" s="132" t="str">
        <x:v>Тип</x:v>
      </x:c>
      <x:c r="B4" s="133" t="str">
        <x:v>Будни</x:v>
      </x:c>
      <x:c r="C4" s="133" t="str">
        <x:v>Выходные</x:v>
      </x:c>
      <x:c r="D4" s="133" t="str">
        <x:v>Праздники</x:v>
      </x:c>
      <x:c r="E4" s="133" t="str">
        <x:v>Взвешенная цена</x:v>
      </x:c>
      <x:c r="F4" s="133" t="str">
        <x:v>Включено гостей</x:v>
      </x:c>
      <x:c r="G4" s="133" t="str">
        <x:v>Мин. часов</x:v>
      </x:c>
      <x:c r="H4" s="133" t="str">
        <x:v>Cost / booking</x:v>
      </x:c>
      <x:c r="I4" s="134" t="str">
        <x:v>Contribution margin</x:v>
      </x:c>
    </x:row>
    <x:row r="5" ht="15" hidden="0" customHeight="1">
      <x:c r="A5" s="149" t="str">
        <x:v>Эконом</x:v>
      </x:c>
      <x:c r="B5" s="150" t="n">
        <x:v>9900</x:v>
      </x:c>
      <x:c r="C5" s="150" t="n">
        <x:v>12900</x:v>
      </x:c>
      <x:c r="D5" s="150" t="n">
        <x:v>16900</x:v>
      </x:c>
      <x:c r="E5" s="150" t="n">
        <x:v>11042</x:v>
      </x:c>
      <x:c r="F5" s="151" t="n">
        <x:v>2</x:v>
      </x:c>
      <x:c r="G5" s="151"/>
      <x:c r="H5" s="151"/>
      <x:c r="I5" s="152"/>
    </x:row>
    <x:row r="6" ht="15" hidden="0" customHeight="1">
      <x:c r="A6" s="149" t="str">
        <x:v>Стандарт</x:v>
      </x:c>
      <x:c r="B6" s="150" t="n">
        <x:v>14900</x:v>
      </x:c>
      <x:c r="C6" s="150" t="n">
        <x:v>18900</x:v>
      </x:c>
      <x:c r="D6" s="150" t="n">
        <x:v>24900</x:v>
      </x:c>
      <x:c r="E6" s="150" t="n">
        <x:v>16450</x:v>
      </x:c>
      <x:c r="F6" s="151" t="n">
        <x:v>4</x:v>
      </x:c>
      <x:c r="G6" s="151"/>
      <x:c r="H6" s="151"/>
      <x:c r="I6" s="152"/>
    </x:row>
    <x:row r="7" ht="15" hidden="0" customHeight="1">
      <x:c r="A7" s="149" t="str">
        <x:v>Люкс</x:v>
      </x:c>
      <x:c r="B7" s="150" t="n">
        <x:v>24900</x:v>
      </x:c>
      <x:c r="C7" s="150" t="n">
        <x:v>31900</x:v>
      </x:c>
      <x:c r="D7" s="150" t="n">
        <x:v>39900</x:v>
      </x:c>
      <x:c r="E7" s="150" t="n">
        <x:v>27510.000000000004</x:v>
      </x:c>
      <x:c r="F7" s="151" t="n">
        <x:v>4</x:v>
      </x:c>
      <x:c r="G7" s="151"/>
      <x:c r="H7" s="151"/>
      <x:c r="I7" s="152"/>
    </x:row>
    <x:row r="8" ht="15" hidden="0" customHeight="1">
      <x:c r="A8" s="149" t="str">
        <x:v>Баня</x:v>
      </x:c>
      <x:c r="B8" s="150" t="n">
        <x:v>3000</x:v>
      </x:c>
      <x:c r="C8" s="150" t="n">
        <x:v>3500</x:v>
      </x:c>
      <x:c r="D8" s="150" t="n">
        <x:v>4000</x:v>
      </x:c>
      <x:c r="E8" s="150" t="n">
        <x:v>3183.5</x:v>
      </x:c>
      <x:c r="F8" s="151"/>
      <x:c r="G8" s="151" t="n">
        <x:v>2</x:v>
      </x:c>
      <x:c r="H8" s="151" t="n">
        <x:v>2400</x:v>
      </x:c>
      <x:c r="I8" s="152" t="n">
        <x:f>1-H8/(E8*G8)</x:f>
        <x:v>0.6230563844824879</x:v>
      </x:c>
    </x:row>
    <x:row r="9" ht="15" hidden="0" customHeight="1">
      <x:c r="A9" s="149" t="str">
        <x:v>Чан</x:v>
      </x:c>
      <x:c r="B9" s="150" t="n">
        <x:v>3500</x:v>
      </x:c>
      <x:c r="C9" s="150" t="n">
        <x:v>4000</x:v>
      </x:c>
      <x:c r="D9" s="150" t="n">
        <x:v>4500</x:v>
      </x:c>
      <x:c r="E9" s="150" t="n">
        <x:v>3683.5</x:v>
      </x:c>
      <x:c r="F9" s="151"/>
      <x:c r="G9" s="151" t="n">
        <x:v>2</x:v>
      </x:c>
      <x:c r="H9" s="151" t="n">
        <x:v>3470</x:v>
      </x:c>
      <x:c r="I9" s="152" t="n">
        <x:f>1-H9/(E9*G9)</x:f>
        <x:v>0.5289805891136148</x:v>
      </x:c>
    </x:row>
    <x:row r="10" ht="15" hidden="0" customHeight="1">
      <x:c r="A10" s="149"/>
      <x:c r="B10" s="150"/>
      <x:c r="C10" s="150"/>
      <x:c r="D10" s="150"/>
      <x:c r="E10" s="150"/>
      <x:c r="F10" s="151"/>
      <x:c r="G10" s="151"/>
      <x:c r="H10" s="151"/>
      <x:c r="I10" s="152"/>
    </x:row>
    <x:row r="11" ht="15" hidden="0" customHeight="1">
      <x:c r="A11" s="149"/>
      <x:c r="B11" s="150"/>
      <x:c r="C11" s="150"/>
      <x:c r="D11" s="150"/>
      <x:c r="E11" s="150"/>
      <x:c r="F11" s="151"/>
      <x:c r="G11" s="151"/>
      <x:c r="H11" s="151"/>
      <x:c r="I11" s="153"/>
    </x:row>
    <x:row r="12" ht="26.399999618530273" hidden="0" customHeight="1">
      <x:c r="A12" s="140" t="str">
        <x:v>Дополнительная услуга</x:v>
      </x:c>
      <x:c r="B12" s="141" t="str">
        <x:v>Категория</x:v>
      </x:c>
      <x:c r="C12" s="141" t="str">
        <x:v>Ед.</x:v>
      </x:c>
      <x:c r="D12" s="141" t="str">
        <x:v>Цена</x:v>
      </x:c>
      <x:c r="E12" s="141" t="str">
        <x:v>Переменная себестоимость</x:v>
      </x:c>
      <x:c r="F12" s="142" t="str">
        <x:v>CM</x:v>
      </x:c>
      <x:c r="G12" s="151"/>
      <x:c r="H12" s="151"/>
      <x:c r="I12" s="153"/>
    </x:row>
    <x:row r="13" ht="15" hidden="0" customHeight="1">
      <x:c r="A13" s="149" t="str">
        <x:v>Завтрак</x:v>
      </x:c>
      <x:c r="B13" s="150" t="str">
        <x:v>Питание</x:v>
      </x:c>
      <x:c r="C13" s="150" t="str">
        <x:v>гость</x:v>
      </x:c>
      <x:c r="D13" s="150" t="n">
        <x:v>1300</x:v>
      </x:c>
      <x:c r="E13" s="150" t="n">
        <x:v>520</x:v>
      </x:c>
      <x:c r="F13" s="154" t="n">
        <x:f>1-E13/D13</x:f>
        <x:v>0.6</x:v>
      </x:c>
      <x:c r="G13" s="151"/>
      <x:c r="H13" s="151"/>
      <x:c r="I13" s="153"/>
    </x:row>
    <x:row r="14" ht="15" hidden="0" customHeight="1">
      <x:c r="A14" s="149" t="str">
        <x:v>Полупансион</x:v>
      </x:c>
      <x:c r="B14" s="150" t="str">
        <x:v>Питание</x:v>
      </x:c>
      <x:c r="C14" s="150" t="str">
        <x:v>гость / день</x:v>
      </x:c>
      <x:c r="D14" s="150" t="n">
        <x:v>3200</x:v>
      </x:c>
      <x:c r="E14" s="150" t="n">
        <x:v>1340</x:v>
      </x:c>
      <x:c r="F14" s="154" t="n">
        <x:f>1-E14/D14</x:f>
        <x:v>0.58125</x:v>
      </x:c>
      <x:c r="G14" s="151"/>
      <x:c r="H14" s="151"/>
      <x:c r="I14" s="153"/>
    </x:row>
    <x:row r="15" ht="15" hidden="0" customHeight="1">
      <x:c r="A15" s="149" t="str">
        <x:v>Полный пансион</x:v>
      </x:c>
      <x:c r="B15" s="150" t="str">
        <x:v>Питание</x:v>
      </x:c>
      <x:c r="C15" s="150" t="str">
        <x:v>гость / день</x:v>
      </x:c>
      <x:c r="D15" s="150" t="n">
        <x:v>4900</x:v>
      </x:c>
      <x:c r="E15" s="150" t="n">
        <x:v>2160</x:v>
      </x:c>
      <x:c r="F15" s="154" t="n">
        <x:f>1-E15/D15</x:f>
        <x:v>0.5591836734693878</x:v>
      </x:c>
      <x:c r="G15" s="151"/>
      <x:c r="H15" s="151"/>
      <x:c r="I15" s="153"/>
    </x:row>
    <x:row r="16" ht="15" hidden="0" customHeight="1">
      <x:c r="A16" s="149" t="str">
        <x:v>Grill-box с доставкой</x:v>
      </x:c>
      <x:c r="B16" s="150" t="str">
        <x:v>Питание</x:v>
      </x:c>
      <x:c r="C16" s="150" t="str">
        <x:v>набор</x:v>
      </x:c>
      <x:c r="D16" s="150" t="n">
        <x:v>4500</x:v>
      </x:c>
      <x:c r="E16" s="150" t="n">
        <x:v>2500</x:v>
      </x:c>
      <x:c r="F16" s="154" t="n">
        <x:f>1-E16/D16</x:f>
        <x:v>0.4444444444444444</x:v>
      </x:c>
      <x:c r="G16" s="151"/>
      <x:c r="H16" s="151"/>
      <x:c r="I16" s="153"/>
    </x:row>
    <x:row r="17" ht="15" hidden="0" customHeight="1">
      <x:c r="A17" s="149" t="str">
        <x:v>Ранний заезд</x:v>
      </x:c>
      <x:c r="B17" s="150" t="str">
        <x:v>Сервис</x:v>
      </x:c>
      <x:c r="C17" s="150" t="str">
        <x:v>заезд</x:v>
      </x:c>
      <x:c r="D17" s="150" t="n">
        <x:v>2500</x:v>
      </x:c>
      <x:c r="E17" s="150" t="n">
        <x:v>400</x:v>
      </x:c>
      <x:c r="F17" s="154" t="n">
        <x:f>1-E17/D17</x:f>
        <x:v>0.84</x:v>
      </x:c>
      <x:c r="G17" s="151"/>
      <x:c r="H17" s="151"/>
      <x:c r="I17" s="153"/>
    </x:row>
    <x:row r="18" ht="15" hidden="0" customHeight="1">
      <x:c r="A18" s="149" t="str">
        <x:v>Поздний выезд</x:v>
      </x:c>
      <x:c r="B18" s="150" t="str">
        <x:v>Сервис</x:v>
      </x:c>
      <x:c r="C18" s="150" t="str">
        <x:v>выезд</x:v>
      </x:c>
      <x:c r="D18" s="150" t="n">
        <x:v>2500</x:v>
      </x:c>
      <x:c r="E18" s="150" t="n">
        <x:v>400</x:v>
      </x:c>
      <x:c r="F18" s="154" t="n">
        <x:f>1-E18/D18</x:f>
        <x:v>0.84</x:v>
      </x:c>
      <x:c r="G18" s="151"/>
      <x:c r="H18" s="151"/>
      <x:c r="I18" s="153"/>
    </x:row>
    <x:row r="19" ht="15" hidden="0" customHeight="1">
      <x:c r="A19" s="149" t="str">
        <x:v>Дополнительный гость</x:v>
      </x:c>
      <x:c r="B19" s="150" t="str">
        <x:v>Сервис</x:v>
      </x:c>
      <x:c r="C19" s="150" t="str">
        <x:v>ночь</x:v>
      </x:c>
      <x:c r="D19" s="150" t="n">
        <x:v>2500</x:v>
      </x:c>
      <x:c r="E19" s="150" t="n">
        <x:v>600</x:v>
      </x:c>
      <x:c r="F19" s="154" t="n">
        <x:f>1-E19/D19</x:f>
        <x:v>0.76</x:v>
      </x:c>
      <x:c r="G19" s="151"/>
      <x:c r="H19" s="151"/>
      <x:c r="I19" s="153"/>
    </x:row>
    <x:row r="20" ht="15" hidden="0" customHeight="1">
      <x:c r="A20" s="149" t="str">
        <x:v>Размещение с питомцем</x:v>
      </x:c>
      <x:c r="B20" s="150" t="str">
        <x:v>Сервис</x:v>
      </x:c>
      <x:c r="C20" s="150" t="str">
        <x:v>заезд</x:v>
      </x:c>
      <x:c r="D20" s="150" t="n">
        <x:v>2500</x:v>
      </x:c>
      <x:c r="E20" s="150" t="n">
        <x:v>900</x:v>
      </x:c>
      <x:c r="F20" s="154" t="n">
        <x:f>1-E20/D20</x:f>
        <x:v>0.64</x:v>
      </x:c>
      <x:c r="G20" s="151"/>
      <x:c r="H20" s="151"/>
      <x:c r="I20" s="153"/>
    </x:row>
    <x:row r="21" ht="15" hidden="0" customHeight="1">
      <x:c r="A21" s="149" t="str">
        <x:v>Романтическое оформление</x:v>
      </x:c>
      <x:c r="B21" s="150" t="str">
        <x:v>Впечатления</x:v>
      </x:c>
      <x:c r="C21" s="150" t="str">
        <x:v>пакет</x:v>
      </x:c>
      <x:c r="D21" s="150" t="n">
        <x:v>6900</x:v>
      </x:c>
      <x:c r="E21" s="150" t="n">
        <x:v>3300</x:v>
      </x:c>
      <x:c r="F21" s="154" t="n">
        <x:f>1-E21/D21</x:f>
        <x:v>0.5217391304347826</x:v>
      </x:c>
      <x:c r="G21" s="151"/>
      <x:c r="H21" s="151"/>
      <x:c r="I21" s="153"/>
    </x:row>
    <x:row r="22" ht="15" hidden="0" customHeight="1">
      <x:c r="A22" s="149" t="str">
        <x:v>Велосипед</x:v>
      </x:c>
      <x:c r="B22" s="150" t="str">
        <x:v>Впечатления</x:v>
      </x:c>
      <x:c r="C22" s="150" t="str">
        <x:v>час</x:v>
      </x:c>
      <x:c r="D22" s="150" t="n">
        <x:v>900</x:v>
      </x:c>
      <x:c r="E22" s="150" t="n">
        <x:v>150</x:v>
      </x:c>
      <x:c r="F22" s="154" t="n">
        <x:f>1-E22/D22</x:f>
        <x:v>0.8333333333333334</x:v>
      </x:c>
      <x:c r="G22" s="151"/>
      <x:c r="H22" s="151"/>
      <x:c r="I22" s="153"/>
    </x:row>
    <x:row r="23" ht="15" hidden="0" customHeight="1">
      <x:c r="A23" s="149" t="str">
        <x:v>Фотосессия / локация</x:v>
      </x:c>
      <x:c r="B23" s="150" t="str">
        <x:v>Впечатления</x:v>
      </x:c>
      <x:c r="C23" s="150" t="str">
        <x:v>час</x:v>
      </x:c>
      <x:c r="D23" s="150" t="n">
        <x:v>5000</x:v>
      </x:c>
      <x:c r="E23" s="150" t="n">
        <x:v>500</x:v>
      </x:c>
      <x:c r="F23" s="154" t="n">
        <x:f>1-E23/D23</x:f>
        <x:v>0.9</x:v>
      </x:c>
      <x:c r="G23" s="151"/>
      <x:c r="H23" s="151"/>
      <x:c r="I23" s="153"/>
    </x:row>
    <x:row r="24" ht="15" hidden="0" customHeight="1">
      <x:c r="A24" s="149" t="str">
        <x:v>Трансфер по Москве</x:v>
      </x:c>
      <x:c r="B24" s="150" t="str">
        <x:v>Транспорт</x:v>
      </x:c>
      <x:c r="C24" s="150" t="str">
        <x:v>поездка</x:v>
      </x:c>
      <x:c r="D24" s="150" t="n">
        <x:v>3500</x:v>
      </x:c>
      <x:c r="E24" s="150" t="n">
        <x:v>2600</x:v>
      </x:c>
      <x:c r="F24" s="154" t="n">
        <x:f>1-E24/D24</x:f>
        <x:v>0.2571428571428571</x:v>
      </x:c>
      <x:c r="G24" s="151"/>
      <x:c r="H24" s="151"/>
      <x:c r="I24" s="153"/>
    </x:row>
    <x:row r="25" ht="15" hidden="0" customHeight="1">
      <x:c r="A25" s="155" t="str">
        <x:v>Гостевая стирка</x:v>
      </x:c>
      <x:c r="B25" s="156" t="str">
        <x:v>Бытовые услуги</x:v>
      </x:c>
      <x:c r="C25" s="156" t="str">
        <x:v>загрузка</x:v>
      </x:c>
      <x:c r="D25" s="156" t="n">
        <x:v>900</x:v>
      </x:c>
      <x:c r="E25" s="156" t="n">
        <x:v>250</x:v>
      </x:c>
      <x:c r="F25" s="157" t="n">
        <x:f>1-E25/D25</x:f>
        <x:v>0.7222222222222222</x:v>
      </x:c>
      <x:c r="G25" s="158"/>
      <x:c r="H25" s="158"/>
      <x:c r="I25" s="159"/>
    </x:row>
    <x:row r="26" ht="15" hidden="0" customHeight="1">
      <x:c r="B26" s="129"/>
      <x:c r="C26" s="129"/>
      <x:c r="D26" s="129"/>
      <x:c r="E26" s="129"/>
    </x:row>
  </x:sheetData>
  <x:mergeCells>
    <x:mergeCell ref="A1:I1"/>
    <x:mergeCell ref="A2:I2"/>
  </x:mergeCells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.130000114440918" hidden="0" customWidth="1"/>
    <x:col min="2" max="2" width="10" hidden="0" customWidth="1"/>
    <x:col min="3" max="3" width="22.5" hidden="0" customWidth="1"/>
    <x:col min="4" max="4" width="21.25" hidden="0" customWidth="1"/>
    <x:col min="5" max="5" width="41.25" hidden="0" customWidth="1"/>
    <x:col min="6" max="6" width="20.6299991607666" hidden="0" customWidth="1"/>
    <x:col min="7" max="7" width="12.5" hidden="0" customWidth="1"/>
    <x:col min="8" max="8" width="14.380000114440918" hidden="0" customWidth="1"/>
    <x:col min="9" max="9" width="15" hidden="0" customWidth="1"/>
    <x:col min="10" max="10" width="16.25" hidden="0" customWidth="1"/>
    <x:col min="11" max="11" width="13.75" hidden="0" customWidth="1"/>
    <x:col min="12" max="12" width="47.5" hidden="0" customWidth="1"/>
  </x:cols>
  <x:sheetData>
    <x:row r="1" ht="19.200000762939453" hidden="0" customHeight="1">
      <x:c r="A1" s="126" t="str">
        <x:v>Procurement v0.2 — FF&amp;E / OS&amp;E / reception / laundry / warehouse</x:v>
      </x:c>
      <x:c r="B1" s="126"/>
      <x:c r="C1" s="126"/>
      <x:c r="D1" s="126"/>
      <x:c r="E1" s="126"/>
      <x:c r="F1" s="126"/>
      <x:c r="G1" s="126"/>
      <x:c r="H1" s="126"/>
      <x:c r="I1" s="126"/>
      <x:c r="J1" s="126"/>
      <x:c r="K1" s="126"/>
      <x:c r="L1" s="126"/>
    </x:row>
    <x:row r="2" ht="15" hidden="0" customHeight="1">
      <x:c r="A2" t="str">
        <x:v>Retail snapshot 2026-07-16. Лемана ПРО, Ozon и Wildberries меняют цену/наличие; перед заказом зафиксировать SKU, регион, доставку и B2B условия.</x:v>
      </x:c>
    </x:row>
    <x:row r="3"/>
    <x:row r="4" ht="15" hidden="0" customHeight="1">
      <x:c r="A4" s="132" t="str">
        <x:v>Тип</x:v>
      </x:c>
      <x:c r="B4" s="133" t="str">
        <x:v>Код</x:v>
      </x:c>
      <x:c r="C4" s="133" t="str">
        <x:v>Зона</x:v>
      </x:c>
      <x:c r="D4" s="133" t="str">
        <x:v>Категория закупки</x:v>
      </x:c>
      <x:c r="E4" s="133" t="str">
        <x:v>Позиция</x:v>
      </x:c>
      <x:c r="F4" s="133" t="str">
        <x:v>Группа</x:v>
      </x:c>
      <x:c r="G4" s="133" t="str">
        <x:v>Ед.</x:v>
      </x:c>
      <x:c r="H4" s="133" t="str">
        <x:v>Цена</x:v>
      </x:c>
      <x:c r="I4" s="133" t="str">
        <x:v>Статус</x:v>
      </x:c>
      <x:c r="J4" s="133" t="str">
        <x:v>Поставщик</x:v>
      </x:c>
      <x:c r="K4" s="133" t="str">
        <x:v>Тип ссылки</x:v>
      </x:c>
      <x:c r="L4" s="134" t="str">
        <x:v>Карточка / поиск</x:v>
      </x:c>
    </x:row>
    <x:row r="5" ht="26.399999618530273" hidden="0" customHeight="1">
      <x:c r="A5" s="149" t="str">
        <x:v>Разовая</x:v>
      </x:c>
      <x:c r="B5" s="151" t="str">
        <x:v>H01</x:v>
      </x:c>
      <x:c r="C5" s="151" t="str">
        <x:v>Дом · спальня</x:v>
      </x:c>
      <x:c r="D5" s="151" t="str">
        <x:v>Мебель и сон</x:v>
      </x:c>
      <x:c r="E5" s="151" t="str">
        <x:v>Кровать с изголовьем 160×200</x:v>
      </x:c>
      <x:c r="F5" s="151" t="str">
        <x:v>Мебель</x:v>
      </x:c>
      <x:c r="G5" s="151" t="str">
        <x:v>шт.</x:v>
      </x:c>
      <x:c r="H5" s="150" t="n">
        <x:v>34990</x:v>
      </x:c>
      <x:c r="I5" s="151" t="str">
        <x:v>BUDGETARY ALLOWANCE</x:v>
      </x:c>
      <x:c r="J5" s="151" t="str">
        <x:v>Hoff</x:v>
      </x:c>
      <x:c r="K5" s="151" t="str">
        <x:v>SOURCE</x:v>
      </x:c>
      <x:c r="L5" s="153" t="str">
        <x:v>https://hoff.ru/</x:v>
      </x:c>
    </x:row>
    <x:row r="6" ht="26.399999618530273" hidden="0" customHeight="1">
      <x:c r="A6" s="149" t="str">
        <x:v>Разовая</x:v>
      </x:c>
      <x:c r="B6" s="151" t="str">
        <x:v>H02</x:v>
      </x:c>
      <x:c r="C6" s="151" t="str">
        <x:v>Дом · спальня</x:v>
      </x:c>
      <x:c r="D6" s="151" t="str">
        <x:v>Мебель и сон</x:v>
      </x:c>
      <x:c r="E6" s="151" t="str">
        <x:v>Матрас hotel-grade 160×200, средняя жёсткость</x:v>
      </x:c>
      <x:c r="F6" s="151" t="str">
        <x:v>Мебель</x:v>
      </x:c>
      <x:c r="G6" s="151" t="str">
        <x:v>шт.</x:v>
      </x:c>
      <x:c r="H6" s="150" t="n">
        <x:v>29990</x:v>
      </x:c>
      <x:c r="I6" s="151" t="str">
        <x:v>BUDGETARY ALLOWANCE</x:v>
      </x:c>
      <x:c r="J6" s="151" t="str">
        <x:v>Hoff</x:v>
      </x:c>
      <x:c r="K6" s="151" t="str">
        <x:v>SOURCE</x:v>
      </x:c>
      <x:c r="L6" s="153" t="str">
        <x:v>https://hoff.ru/</x:v>
      </x:c>
    </x:row>
    <x:row r="7" ht="15" hidden="0" customHeight="1">
      <x:c r="A7" s="149" t="str">
        <x:v>Разовая</x:v>
      </x:c>
      <x:c r="B7" s="151" t="str">
        <x:v>H02T</x:v>
      </x:c>
      <x:c r="C7" s="151" t="str">
        <x:v>Дом · спальня</x:v>
      </x:c>
      <x:c r="D7" s="151" t="str">
        <x:v>Мебель и сон</x:v>
      </x:c>
      <x:c r="E7" s="151" t="str">
        <x:v>Комфортный топпер 160×200×5 см</x:v>
      </x:c>
      <x:c r="F7" s="151" t="str">
        <x:v>Sleep</x:v>
      </x:c>
      <x:c r="G7" s="151" t="str">
        <x:v>шт.</x:v>
      </x:c>
      <x:c r="H7" s="150" t="n">
        <x:v>4594</x:v>
      </x:c>
      <x:c r="I7" s="151" t="str">
        <x:v>RETAIL SNAPSHOT</x:v>
      </x:c>
      <x:c r="J7" s="151" t="str">
        <x:v>Wildberries</x:v>
      </x:c>
      <x:c r="K7" s="151" t="str">
        <x:v>PRODUCT CARD</x:v>
      </x:c>
      <x:c r="L7" s="153" t="str">
        <x:v>https://global.wildberries.ru/catalog/267969243/detail.aspx</x:v>
      </x:c>
    </x:row>
    <x:row r="8" ht="26.399999618530273" hidden="0" customHeight="1">
      <x:c r="A8" s="149" t="str">
        <x:v>Разовая</x:v>
      </x:c>
      <x:c r="B8" s="151" t="str">
        <x:v>H03</x:v>
      </x:c>
      <x:c r="C8" s="151" t="str">
        <x:v>Дом · гостиная</x:v>
      </x:c>
      <x:c r="D8" s="151" t="str">
        <x:v>Мебель и сон</x:v>
      </x:c>
      <x:c r="E8" s="151" t="str">
        <x:v>Диван-кровать с коммерческой тканью</x:v>
      </x:c>
      <x:c r="F8" s="151" t="str">
        <x:v>Мебель</x:v>
      </x:c>
      <x:c r="G8" s="151" t="str">
        <x:v>шт.</x:v>
      </x:c>
      <x:c r="H8" s="150" t="n">
        <x:v>59990</x:v>
      </x:c>
      <x:c r="I8" s="151" t="str">
        <x:v>BUDGETARY ALLOWANCE</x:v>
      </x:c>
      <x:c r="J8" s="151" t="str">
        <x:v>Hoff</x:v>
      </x:c>
      <x:c r="K8" s="151" t="str">
        <x:v>SOURCE</x:v>
      </x:c>
      <x:c r="L8" s="153" t="str">
        <x:v>https://hoff.ru/</x:v>
      </x:c>
    </x:row>
    <x:row r="9" ht="26.399999618530273" hidden="0" customHeight="1">
      <x:c r="A9" s="149" t="str">
        <x:v>Разовая</x:v>
      </x:c>
      <x:c r="B9" s="151" t="str">
        <x:v>H04</x:v>
      </x:c>
      <x:c r="C9" s="151" t="str">
        <x:v>Дом · гостиная</x:v>
      </x:c>
      <x:c r="D9" s="151" t="str">
        <x:v>Мебель и сон</x:v>
      </x:c>
      <x:c r="E9" s="151" t="str">
        <x:v>Кресло lounge</x:v>
      </x:c>
      <x:c r="F9" s="151" t="str">
        <x:v>Мебель</x:v>
      </x:c>
      <x:c r="G9" s="151" t="str">
        <x:v>шт.</x:v>
      </x:c>
      <x:c r="H9" s="150" t="n">
        <x:v>24990</x:v>
      </x:c>
      <x:c r="I9" s="151" t="str">
        <x:v>BUDGETARY ALLOWANCE</x:v>
      </x:c>
      <x:c r="J9" s="151" t="str">
        <x:v>Hoff</x:v>
      </x:c>
      <x:c r="K9" s="151" t="str">
        <x:v>SOURCE</x:v>
      </x:c>
      <x:c r="L9" s="153" t="str">
        <x:v>https://hoff.ru/</x:v>
      </x:c>
    </x:row>
    <x:row r="10" ht="26.399999618530273" hidden="0" customHeight="1">
      <x:c r="A10" s="149" t="str">
        <x:v>Разовая</x:v>
      </x:c>
      <x:c r="B10" s="151" t="str">
        <x:v>H05</x:v>
      </x:c>
      <x:c r="C10" s="151" t="str">
        <x:v>Дом · спальня</x:v>
      </x:c>
      <x:c r="D10" s="151" t="str">
        <x:v>Мебель и сон</x:v>
      </x:c>
      <x:c r="E10" s="151" t="str">
        <x:v>Прикроватная тумба</x:v>
      </x:c>
      <x:c r="F10" s="151" t="str">
        <x:v>Мебель</x:v>
      </x:c>
      <x:c r="G10" s="151" t="str">
        <x:v>шт.</x:v>
      </x:c>
      <x:c r="H10" s="150" t="n">
        <x:v>6490</x:v>
      </x:c>
      <x:c r="I10" s="151" t="str">
        <x:v>BUDGETARY ALLOWANCE</x:v>
      </x:c>
      <x:c r="J10" s="151" t="str">
        <x:v>Hoff</x:v>
      </x:c>
      <x:c r="K10" s="151" t="str">
        <x:v>SOURCE</x:v>
      </x:c>
      <x:c r="L10" s="153" t="str">
        <x:v>https://hoff.ru/</x:v>
      </x:c>
    </x:row>
    <x:row r="11" ht="26.399999618530273" hidden="0" customHeight="1">
      <x:c r="A11" s="149" t="str">
        <x:v>Разовая</x:v>
      </x:c>
      <x:c r="B11" s="151" t="str">
        <x:v>H06</x:v>
      </x:c>
      <x:c r="C11" s="151" t="str">
        <x:v>Дом · хранение</x:v>
      </x:c>
      <x:c r="D11" s="151" t="str">
        <x:v>Мебель и сон</x:v>
      </x:c>
      <x:c r="E11" s="151" t="str">
        <x:v>Шкаф/гардероб закрытый</x:v>
      </x:c>
      <x:c r="F11" s="151" t="str">
        <x:v>Мебель</x:v>
      </x:c>
      <x:c r="G11" s="151" t="str">
        <x:v>шт.</x:v>
      </x:c>
      <x:c r="H11" s="150" t="n">
        <x:v>32990</x:v>
      </x:c>
      <x:c r="I11" s="151" t="str">
        <x:v>BUDGETARY ALLOWANCE</x:v>
      </x:c>
      <x:c r="J11" s="151" t="str">
        <x:v>Hoff</x:v>
      </x:c>
      <x:c r="K11" s="151" t="str">
        <x:v>SOURCE</x:v>
      </x:c>
      <x:c r="L11" s="153" t="str">
        <x:v>https://hoff.ru/</x:v>
      </x:c>
    </x:row>
    <x:row r="12" ht="26.399999618530273" hidden="0" customHeight="1">
      <x:c r="A12" s="149" t="str">
        <x:v>Разовая</x:v>
      </x:c>
      <x:c r="B12" s="151" t="str">
        <x:v>H07</x:v>
      </x:c>
      <x:c r="C12" s="151" t="str">
        <x:v>Дом · хранение</x:v>
      </x:c>
      <x:c r="D12" s="151" t="str">
        <x:v>Мебель и сон</x:v>
      </x:c>
      <x:c r="E12" s="151" t="str">
        <x:v>Багажница гостиничная</x:v>
      </x:c>
      <x:c r="F12" s="151" t="str">
        <x:v>Мебель</x:v>
      </x:c>
      <x:c r="G12" s="151" t="str">
        <x:v>шт.</x:v>
      </x:c>
      <x:c r="H12" s="150" t="n">
        <x:v>8500</x:v>
      </x:c>
      <x:c r="I12" s="151" t="str">
        <x:v>BUDGETARY ALLOWANCE</x:v>
      </x:c>
      <x:c r="J12" s="151" t="str">
        <x:v>Коммерческое предложение</x:v>
      </x:c>
      <x:c r="K12" s="151" t="str">
        <x:v>RFQ</x:v>
      </x:c>
      <x:c r="L12" s="153" t="str">
        <x:v>#procurement</x:v>
      </x:c>
    </x:row>
    <x:row r="13" ht="26.399999618530273" hidden="0" customHeight="1">
      <x:c r="A13" s="149" t="str">
        <x:v>Разовая</x:v>
      </x:c>
      <x:c r="B13" s="151" t="str">
        <x:v>H08</x:v>
      </x:c>
      <x:c r="C13" s="151" t="str">
        <x:v>Дом · столовая</x:v>
      </x:c>
      <x:c r="D13" s="151" t="str">
        <x:v>Мебель и сон</x:v>
      </x:c>
      <x:c r="E13" s="151" t="str">
        <x:v>Обеденный стол</x:v>
      </x:c>
      <x:c r="F13" s="151" t="str">
        <x:v>Мебель</x:v>
      </x:c>
      <x:c r="G13" s="151" t="str">
        <x:v>шт.</x:v>
      </x:c>
      <x:c r="H13" s="150" t="n">
        <x:v>21990</x:v>
      </x:c>
      <x:c r="I13" s="151" t="str">
        <x:v>BUDGETARY ALLOWANCE</x:v>
      </x:c>
      <x:c r="J13" s="151" t="str">
        <x:v>Hoff</x:v>
      </x:c>
      <x:c r="K13" s="151" t="str">
        <x:v>SOURCE</x:v>
      </x:c>
      <x:c r="L13" s="153" t="str">
        <x:v>https://hoff.ru/</x:v>
      </x:c>
    </x:row>
    <x:row r="14" ht="26.399999618530273" hidden="0" customHeight="1">
      <x:c r="A14" s="149" t="str">
        <x:v>Разовая</x:v>
      </x:c>
      <x:c r="B14" s="151" t="str">
        <x:v>H09</x:v>
      </x:c>
      <x:c r="C14" s="151" t="str">
        <x:v>Дом · столовая</x:v>
      </x:c>
      <x:c r="D14" s="151" t="str">
        <x:v>Мебель и сон</x:v>
      </x:c>
      <x:c r="E14" s="151" t="str">
        <x:v>Обеденный стул, износостойкая обивка</x:v>
      </x:c>
      <x:c r="F14" s="151" t="str">
        <x:v>Мебель</x:v>
      </x:c>
      <x:c r="G14" s="151" t="str">
        <x:v>шт.</x:v>
      </x:c>
      <x:c r="H14" s="150" t="n">
        <x:v>7490</x:v>
      </x:c>
      <x:c r="I14" s="151" t="str">
        <x:v>BUDGETARY ALLOWANCE</x:v>
      </x:c>
      <x:c r="J14" s="151" t="str">
        <x:v>Hoff</x:v>
      </x:c>
      <x:c r="K14" s="151" t="str">
        <x:v>SOURCE</x:v>
      </x:c>
      <x:c r="L14" s="153" t="str">
        <x:v>https://hoff.ru/</x:v>
      </x:c>
    </x:row>
    <x:row r="15" ht="26.399999618530273" hidden="0" customHeight="1">
      <x:c r="A15" s="149" t="str">
        <x:v>Разовая</x:v>
      </x:c>
      <x:c r="B15" s="151" t="str">
        <x:v>H10</x:v>
      </x:c>
      <x:c r="C15" s="151" t="str">
        <x:v>Дом · прихожая</x:v>
      </x:c>
      <x:c r="D15" s="151" t="str">
        <x:v>Мебель и сон</x:v>
      </x:c>
      <x:c r="E15" s="151" t="str">
        <x:v>Консоль, зеркало и крючки</x:v>
      </x:c>
      <x:c r="F15" s="151" t="str">
        <x:v>Мебель</x:v>
      </x:c>
      <x:c r="G15" s="151" t="str">
        <x:v>компл.</x:v>
      </x:c>
      <x:c r="H15" s="150" t="n">
        <x:v>18900</x:v>
      </x:c>
      <x:c r="I15" s="151" t="str">
        <x:v>BUDGETARY ALLOWANCE</x:v>
      </x:c>
      <x:c r="J15" s="151" t="str">
        <x:v>Hoff</x:v>
      </x:c>
      <x:c r="K15" s="151" t="str">
        <x:v>SOURCE</x:v>
      </x:c>
      <x:c r="L15" s="153" t="str">
        <x:v>https://hoff.ru/</x:v>
      </x:c>
    </x:row>
    <x:row r="16" ht="26.399999618530273" hidden="0" customHeight="1">
      <x:c r="A16" s="149" t="str">
        <x:v>Разовая</x:v>
      </x:c>
      <x:c r="B16" s="151" t="str">
        <x:v>H11</x:v>
      </x:c>
      <x:c r="C16" s="151" t="str">
        <x:v>Дом · прихожая</x:v>
      </x:c>
      <x:c r="D16" s="151" t="str">
        <x:v>Мебель и сон</x:v>
      </x:c>
      <x:c r="E16" s="151" t="str">
        <x:v>Входной коврик ворсовый на резиновой основе</x:v>
      </x:c>
      <x:c r="F16" s="151" t="str">
        <x:v>OS&amp;E</x:v>
      </x:c>
      <x:c r="G16" s="151" t="str">
        <x:v>шт.</x:v>
      </x:c>
      <x:c r="H16" s="150" t="n">
        <x:v>2490</x:v>
      </x:c>
      <x:c r="I16" s="151" t="str">
        <x:v>BUDGETARY ALLOWANCE</x:v>
      </x:c>
      <x:c r="J16" s="151" t="str">
        <x:v>Лемана ПРО</x:v>
      </x:c>
      <x:c r="K16" s="151" t="str">
        <x:v>SOURCE</x:v>
      </x:c>
      <x:c r="L16" s="153" t="str">
        <x:v>https://lemanapro.ru/</x:v>
      </x:c>
    </x:row>
    <x:row r="17" ht="26.399999618530273" hidden="0" customHeight="1">
      <x:c r="A17" s="149" t="str">
        <x:v>Разовая</x:v>
      </x:c>
      <x:c r="B17" s="151" t="str">
        <x:v>H12</x:v>
      </x:c>
      <x:c r="C17" s="151" t="str">
        <x:v>Дом · окна</x:v>
      </x:c>
      <x:c r="D17" s="151" t="str">
        <x:v>Мебель и сон</x:v>
      </x:c>
      <x:c r="E17" s="151" t="str">
        <x:v>Blackout-шторы, карнизы, монтаж</x:v>
      </x:c>
      <x:c r="F17" s="151" t="str">
        <x:v>Текстиль</x:v>
      </x:c>
      <x:c r="G17" s="151" t="str">
        <x:v>компл.</x:v>
      </x:c>
      <x:c r="H17" s="150" t="n">
        <x:v>48000</x:v>
      </x:c>
      <x:c r="I17" s="151" t="str">
        <x:v>RFQ REQUIRED</x:v>
      </x:c>
      <x:c r="J17" s="151" t="str">
        <x:v>Коммерческое предложение</x:v>
      </x:c>
      <x:c r="K17" s="151" t="str">
        <x:v>RFQ</x:v>
      </x:c>
      <x:c r="L17" s="153" t="str">
        <x:v>#procurement</x:v>
      </x:c>
    </x:row>
    <x:row r="18" ht="15" hidden="0" customHeight="1">
      <x:c r="A18" s="149" t="str">
        <x:v>Разовая</x:v>
      </x:c>
      <x:c r="B18" s="151" t="str">
        <x:v>K01</x:v>
      </x:c>
      <x:c r="C18" s="151" t="str">
        <x:v>Дом · кухня</x:v>
      </x:c>
      <x:c r="D18" s="151" t="str">
        <x:v>Кухня и техника</x:v>
      </x:c>
      <x:c r="E18" s="151" t="str">
        <x:v>Кухонные модули, столешница, фурнитура, монтаж</x:v>
      </x:c>
      <x:c r="F18" s="151" t="str">
        <x:v>Кухня</x:v>
      </x:c>
      <x:c r="G18" s="151" t="str">
        <x:v>пог. компл.</x:v>
      </x:c>
      <x:c r="H18" s="150" t="n">
        <x:v>155000</x:v>
      </x:c>
      <x:c r="I18" s="151" t="str">
        <x:v>RFQ REQUIRED</x:v>
      </x:c>
      <x:c r="J18" s="151" t="str">
        <x:v>Hoff</x:v>
      </x:c>
      <x:c r="K18" s="151" t="str">
        <x:v>SOURCE</x:v>
      </x:c>
      <x:c r="L18" s="153" t="str">
        <x:v>https://hoff.ru/</x:v>
      </x:c>
    </x:row>
    <x:row r="19" ht="39.599998474121094" hidden="0" customHeight="1">
      <x:c r="A19" s="149" t="str">
        <x:v>Разовая</x:v>
      </x:c>
      <x:c r="B19" s="151" t="str">
        <x:v>K02</x:v>
      </x:c>
      <x:c r="C19" s="151" t="str">
        <x:v>Дом · кухня</x:v>
      </x:c>
      <x:c r="D19" s="151" t="str">
        <x:v>Кухня и техника</x:v>
      </x:c>
      <x:c r="E19" s="151" t="str">
        <x:v>Кухонная мойка композитная</x:v>
      </x:c>
      <x:c r="F19" s="151" t="str">
        <x:v>Сантехника</x:v>
      </x:c>
      <x:c r="G19" s="151" t="str">
        <x:v>шт.</x:v>
      </x:c>
      <x:c r="H19" s="150" t="n">
        <x:v>6238</x:v>
      </x:c>
      <x:c r="I19" s="151" t="str">
        <x:v>RETAIL SNAPSHOT</x:v>
      </x:c>
      <x:c r="J19" s="151" t="str">
        <x:v>Лемана ПРО</x:v>
      </x:c>
      <x:c r="K19" s="151" t="str">
        <x:v>PRODUCT CARD</x:v>
      </x:c>
      <x:c r="L19" s="153" t="str">
        <x:v>https://lemanapro.ru/product/moyka-dlya-kuhni-vreznaya-delinia-51x51-sm-glubina-chashi-20-sm-kvarc-cvet-belyy-zhasmin-87795684/</x:v>
      </x:c>
    </x:row>
    <x:row r="20" ht="26.399999618530273" hidden="0" customHeight="1">
      <x:c r="A20" s="149" t="str">
        <x:v>Разовая</x:v>
      </x:c>
      <x:c r="B20" s="151" t="str">
        <x:v>K03</x:v>
      </x:c>
      <x:c r="C20" s="151" t="str">
        <x:v>Дом · кухня</x:v>
      </x:c>
      <x:c r="D20" s="151" t="str">
        <x:v>Кухня и техника</x:v>
      </x:c>
      <x:c r="E20" s="151" t="str">
        <x:v>Смеситель кухонный латунный</x:v>
      </x:c>
      <x:c r="F20" s="151" t="str">
        <x:v>Сантехника</x:v>
      </x:c>
      <x:c r="G20" s="151" t="str">
        <x:v>шт.</x:v>
      </x:c>
      <x:c r="H20" s="150" t="n">
        <x:v>7545</x:v>
      </x:c>
      <x:c r="I20" s="151" t="str">
        <x:v>RETAIL SNAPSHOT</x:v>
      </x:c>
      <x:c r="J20" s="151" t="str">
        <x:v>Лемана ПРО</x:v>
      </x:c>
      <x:c r="K20" s="151" t="str">
        <x:v>PRODUCT CARD</x:v>
      </x:c>
      <x:c r="L20" s="153" t="str">
        <x:v>https://ufa.lemanapro.ru/product/smesitel-kuhonnyy-neya-obshchaya-vysota-478-sm-cvet-chernyy-matovyy-88780487/</x:v>
      </x:c>
    </x:row>
    <x:row r="21" ht="26.399999618530273" hidden="0" customHeight="1">
      <x:c r="A21" s="149" t="str">
        <x:v>Разовая</x:v>
      </x:c>
      <x:c r="B21" s="151" t="str">
        <x:v>K04</x:v>
      </x:c>
      <x:c r="C21" s="151" t="str">
        <x:v>Дом · кухня</x:v>
      </x:c>
      <x:c r="D21" s="151" t="str">
        <x:v>Кухня и техника</x:v>
      </x:c>
      <x:c r="E21" s="151" t="str">
        <x:v>Холодильник</x:v>
      </x:c>
      <x:c r="F21" s="151" t="str">
        <x:v>Техника</x:v>
      </x:c>
      <x:c r="G21" s="151" t="str">
        <x:v>шт.</x:v>
      </x:c>
      <x:c r="H21" s="150" t="n">
        <x:v>32999</x:v>
      </x:c>
      <x:c r="I21" s="151" t="str">
        <x:v>PUBLIC PRICE</x:v>
      </x:c>
      <x:c r="J21" s="151" t="str">
        <x:v>М.Видео</x:v>
      </x:c>
      <x:c r="K21" s="151" t="str">
        <x:v>SOURCE</x:v>
      </x:c>
      <x:c r="L21" s="153" t="str">
        <x:v>https://www.mvideo.ru/holodilniki-i-morozilniki-2687/holodilniki-i-morozilnye-kamery-159</x:v>
      </x:c>
    </x:row>
    <x:row r="22" ht="26.399999618530273" hidden="0" customHeight="1">
      <x:c r="A22" s="149" t="str">
        <x:v>Разовая</x:v>
      </x:c>
      <x:c r="B22" s="151" t="str">
        <x:v>K05</x:v>
      </x:c>
      <x:c r="C22" s="151" t="str">
        <x:v>Дом · кухня</x:v>
      </x:c>
      <x:c r="D22" s="151" t="str">
        <x:v>Кухня и техника</x:v>
      </x:c>
      <x:c r="E22" s="151" t="str">
        <x:v>Индукционная панель, 2 конфорки</x:v>
      </x:c>
      <x:c r="F22" s="151" t="str">
        <x:v>Техника</x:v>
      </x:c>
      <x:c r="G22" s="151" t="str">
        <x:v>шт.</x:v>
      </x:c>
      <x:c r="H22" s="150" t="n">
        <x:v>10110</x:v>
      </x:c>
      <x:c r="I22" s="151" t="str">
        <x:v>PUBLIC PRICE</x:v>
      </x:c>
      <x:c r="J22" s="151" t="str">
        <x:v>М.Видео</x:v>
      </x:c>
      <x:c r="K22" s="151" t="str">
        <x:v>SOURCE</x:v>
      </x:c>
      <x:c r="L22" s="153" t="str">
        <x:v>https://www.mvideo.ru/products/vstraivaemaya-indukcionnaya-panel-nezavisimaya-meferi-mih302bk-comfort-400354284</x:v>
      </x:c>
    </x:row>
    <x:row r="23" ht="26.399999618530273" hidden="0" customHeight="1">
      <x:c r="A23" s="149" t="str">
        <x:v>Разовая</x:v>
      </x:c>
      <x:c r="B23" s="151" t="str">
        <x:v>K06</x:v>
      </x:c>
      <x:c r="C23" s="151" t="str">
        <x:v>Дом · кухня</x:v>
      </x:c>
      <x:c r="D23" s="151" t="str">
        <x:v>Кухня и техника</x:v>
      </x:c>
      <x:c r="E23" s="151" t="str">
        <x:v>Посудомоечная машина 45 см</x:v>
      </x:c>
      <x:c r="F23" s="151" t="str">
        <x:v>Техника</x:v>
      </x:c>
      <x:c r="G23" s="151" t="str">
        <x:v>шт.</x:v>
      </x:c>
      <x:c r="H23" s="150" t="n">
        <x:v>31245</x:v>
      </x:c>
      <x:c r="I23" s="151" t="str">
        <x:v>PUBLIC PRICE</x:v>
      </x:c>
      <x:c r="J23" s="151" t="str">
        <x:v>М.Видео</x:v>
      </x:c>
      <x:c r="K23" s="151" t="str">
        <x:v>SOURCE</x:v>
      </x:c>
      <x:c r="L23" s="153" t="str">
        <x:v>https://www.mvideo.ru/products/vstraivaemaya-posudomoechnaya-mashina-45-sm-monsher-md-4515-400246557</x:v>
      </x:c>
    </x:row>
    <x:row r="24" ht="26.399999618530273" hidden="0" customHeight="1">
      <x:c r="A24" s="149" t="str">
        <x:v>Разовая</x:v>
      </x:c>
      <x:c r="B24" s="151" t="str">
        <x:v>K07</x:v>
      </x:c>
      <x:c r="C24" s="151" t="str">
        <x:v>Дом · кухня</x:v>
      </x:c>
      <x:c r="D24" s="151" t="str">
        <x:v>Кухня и техника</x:v>
      </x:c>
      <x:c r="E24" s="151" t="str">
        <x:v>Духовой шкаф электрический</x:v>
      </x:c>
      <x:c r="F24" s="151" t="str">
        <x:v>Техника</x:v>
      </x:c>
      <x:c r="G24" s="151" t="str">
        <x:v>шт.</x:v>
      </x:c>
      <x:c r="H24" s="150" t="n">
        <x:v>32990</x:v>
      </x:c>
      <x:c r="I24" s="151" t="str">
        <x:v>BUDGETARY ALLOWANCE</x:v>
      </x:c>
      <x:c r="J24" s="151" t="str">
        <x:v>М.Видео</x:v>
      </x:c>
      <x:c r="K24" s="151" t="str">
        <x:v>SOURCE</x:v>
      </x:c>
      <x:c r="L24" s="153" t="str">
        <x:v>https://www.mvideo.ru/vstraivaemaya-tehnika-4/duhovye-shkafy-4106</x:v>
      </x:c>
    </x:row>
    <x:row r="25" ht="26.399999618530273" hidden="0" customHeight="1">
      <x:c r="A25" s="149" t="str">
        <x:v>Разовая</x:v>
      </x:c>
      <x:c r="B25" s="151" t="str">
        <x:v>K08</x:v>
      </x:c>
      <x:c r="C25" s="151" t="str">
        <x:v>Дом · кухня</x:v>
      </x:c>
      <x:c r="D25" s="151" t="str">
        <x:v>Кухня и техника</x:v>
      </x:c>
      <x:c r="E25" s="151" t="str">
        <x:v>Микроволновая печь</x:v>
      </x:c>
      <x:c r="F25" s="151" t="str">
        <x:v>Техника</x:v>
      </x:c>
      <x:c r="G25" s="151" t="str">
        <x:v>шт.</x:v>
      </x:c>
      <x:c r="H25" s="150" t="n">
        <x:v>9990</x:v>
      </x:c>
      <x:c r="I25" s="151" t="str">
        <x:v>BUDGETARY ALLOWANCE</x:v>
      </x:c>
      <x:c r="J25" s="151" t="str">
        <x:v>М.Видео</x:v>
      </x:c>
      <x:c r="K25" s="151" t="str">
        <x:v>SOURCE</x:v>
      </x:c>
      <x:c r="L25" s="153" t="str">
        <x:v>https://www.mvideo.ru/vstraivaemaya-tehnika-4/duhovye-shkafy-4106</x:v>
      </x:c>
    </x:row>
    <x:row r="26" ht="26.399999618530273" hidden="0" customHeight="1">
      <x:c r="A26" s="149" t="str">
        <x:v>Разовая</x:v>
      </x:c>
      <x:c r="B26" s="151" t="str">
        <x:v>K09</x:v>
      </x:c>
      <x:c r="C26" s="151" t="str">
        <x:v>Дом · кухня</x:v>
      </x:c>
      <x:c r="D26" s="151" t="str">
        <x:v>Кухня и техника</x:v>
      </x:c>
      <x:c r="E26" s="151" t="str">
        <x:v>Чайник электрический hotel-grade</x:v>
      </x:c>
      <x:c r="F26" s="151" t="str">
        <x:v>Техника</x:v>
      </x:c>
      <x:c r="G26" s="151" t="str">
        <x:v>шт.</x:v>
      </x:c>
      <x:c r="H26" s="150" t="n">
        <x:v>4490</x:v>
      </x:c>
      <x:c r="I26" s="151" t="str">
        <x:v>BUDGETARY ALLOWANCE</x:v>
      </x:c>
      <x:c r="J26" s="151" t="str">
        <x:v>Коммерческое предложение</x:v>
      </x:c>
      <x:c r="K26" s="151" t="str">
        <x:v>RFQ</x:v>
      </x:c>
      <x:c r="L26" s="153" t="str">
        <x:v>#procurement</x:v>
      </x:c>
    </x:row>
    <x:row r="27" ht="26.399999618530273" hidden="0" customHeight="1">
      <x:c r="A27" s="149" t="str">
        <x:v>Разовая</x:v>
      </x:c>
      <x:c r="B27" s="151" t="str">
        <x:v>K10</x:v>
      </x:c>
      <x:c r="C27" s="151" t="str">
        <x:v>Дом · кухня</x:v>
      </x:c>
      <x:c r="D27" s="151" t="str">
        <x:v>Кухня и техника</x:v>
      </x:c>
      <x:c r="E27" s="151" t="str">
        <x:v>Капсульная кофемашина</x:v>
      </x:c>
      <x:c r="F27" s="151" t="str">
        <x:v>Техника</x:v>
      </x:c>
      <x:c r="G27" s="151" t="str">
        <x:v>шт.</x:v>
      </x:c>
      <x:c r="H27" s="150" t="n">
        <x:v>11990</x:v>
      </x:c>
      <x:c r="I27" s="151" t="str">
        <x:v>BUDGETARY ALLOWANCE</x:v>
      </x:c>
      <x:c r="J27" s="151" t="str">
        <x:v>Коммерческое предложение</x:v>
      </x:c>
      <x:c r="K27" s="151" t="str">
        <x:v>RFQ</x:v>
      </x:c>
      <x:c r="L27" s="153" t="str">
        <x:v>#procurement</x:v>
      </x:c>
    </x:row>
    <x:row r="28" ht="26.399999618530273" hidden="0" customHeight="1">
      <x:c r="A28" s="149" t="str">
        <x:v>Разовая</x:v>
      </x:c>
      <x:c r="B28" s="151" t="str">
        <x:v>K11</x:v>
      </x:c>
      <x:c r="C28" s="151" t="str">
        <x:v>Дом · кухня</x:v>
      </x:c>
      <x:c r="D28" s="151" t="str">
        <x:v>Кухня и техника</x:v>
      </x:c>
      <x:c r="E28" s="151" t="str">
        <x:v>Посуда, бокалы, приборы, кастрюли, сковорода</x:v>
      </x:c>
      <x:c r="F28" s="151" t="str">
        <x:v>OS&amp;E</x:v>
      </x:c>
      <x:c r="G28" s="151" t="str">
        <x:v>компл.</x:v>
      </x:c>
      <x:c r="H28" s="150" t="n">
        <x:v>28000</x:v>
      </x:c>
      <x:c r="I28" s="151" t="str">
        <x:v>BUDGETARY ALLOWANCE</x:v>
      </x:c>
      <x:c r="J28" s="151" t="str">
        <x:v>Коммерческое предложение</x:v>
      </x:c>
      <x:c r="K28" s="151" t="str">
        <x:v>RFQ</x:v>
      </x:c>
      <x:c r="L28" s="153" t="str">
        <x:v>#procurement</x:v>
      </x:c>
    </x:row>
    <x:row r="29" ht="26.399999618530273" hidden="0" customHeight="1">
      <x:c r="A29" s="149" t="str">
        <x:v>Разовая</x:v>
      </x:c>
      <x:c r="B29" s="151" t="str">
        <x:v>K12</x:v>
      </x:c>
      <x:c r="C29" s="151" t="str">
        <x:v>Дом · кухня</x:v>
      </x:c>
      <x:c r="D29" s="151" t="str">
        <x:v>Кухня и техника</x:v>
      </x:c>
      <x:c r="E29" s="151" t="str">
        <x:v>Кухонный инвентарь, ножи, доски, контейнеры</x:v>
      </x:c>
      <x:c r="F29" s="151" t="str">
        <x:v>OS&amp;E</x:v>
      </x:c>
      <x:c r="G29" s="151" t="str">
        <x:v>компл.</x:v>
      </x:c>
      <x:c r="H29" s="150" t="n">
        <x:v>12500</x:v>
      </x:c>
      <x:c r="I29" s="151" t="str">
        <x:v>BUDGETARY ALLOWANCE</x:v>
      </x:c>
      <x:c r="J29" s="151" t="str">
        <x:v>Коммерческое предложение</x:v>
      </x:c>
      <x:c r="K29" s="151" t="str">
        <x:v>RFQ</x:v>
      </x:c>
      <x:c r="L29" s="153" t="str">
        <x:v>#procurement</x:v>
      </x:c>
    </x:row>
    <x:row r="30" ht="26.399999618530273" hidden="0" customHeight="1">
      <x:c r="A30" s="149" t="str">
        <x:v>Разовая</x:v>
      </x:c>
      <x:c r="B30" s="151" t="str">
        <x:v>B01</x:v>
      </x:c>
      <x:c r="C30" s="151" t="str">
        <x:v>Дом · санузел</x:v>
      </x:c>
      <x:c r="D30" s="151" t="str">
        <x:v>Сантехника</x:v>
      </x:c>
      <x:c r="E30" s="151" t="str">
        <x:v>Акриловая ванна с экраном и сливом</x:v>
      </x:c>
      <x:c r="F30" s="151" t="str">
        <x:v>Сантехника</x:v>
      </x:c>
      <x:c r="G30" s="151" t="str">
        <x:v>шт.</x:v>
      </x:c>
      <x:c r="H30" s="150" t="n">
        <x:v>17900</x:v>
      </x:c>
      <x:c r="I30" s="151" t="str">
        <x:v>RETAIL SNAPSHOT</x:v>
      </x:c>
      <x:c r="J30" s="151" t="str">
        <x:v>Лемана ПРО</x:v>
      </x:c>
      <x:c r="K30" s="151" t="str">
        <x:v>PRODUCT CARD</x:v>
      </x:c>
      <x:c r="L30" s="153" t="str">
        <x:v>https://lemanapro.ru/product/vanna-100acryl-nicca-akrilovaya-170x70-sm-karkas-v-komplekte-83240825/</x:v>
      </x:c>
    </x:row>
    <x:row r="31" ht="26.399999618530273" hidden="0" customHeight="1">
      <x:c r="A31" s="149" t="str">
        <x:v>Разовая</x:v>
      </x:c>
      <x:c r="B31" s="151" t="str">
        <x:v>B02</x:v>
      </x:c>
      <x:c r="C31" s="151" t="str">
        <x:v>Дом · санузел</x:v>
      </x:c>
      <x:c r="D31" s="151" t="str">
        <x:v>Сантехника</x:v>
      </x:c>
      <x:c r="E31" s="151" t="str">
        <x:v>Душевое ограждение / кабина</x:v>
      </x:c>
      <x:c r="F31" s="151" t="str">
        <x:v>Сантехника</x:v>
      </x:c>
      <x:c r="G31" s="151" t="str">
        <x:v>шт.</x:v>
      </x:c>
      <x:c r="H31" s="150" t="n">
        <x:v>29728</x:v>
      </x:c>
      <x:c r="I31" s="151" t="str">
        <x:v>RETAIL SNAPSHOT</x:v>
      </x:c>
      <x:c r="J31" s="151" t="str">
        <x:v>Лемана ПРО</x:v>
      </x:c>
      <x:c r="K31" s="151" t="str">
        <x:v>PRODUCT CARD</x:v>
      </x:c>
      <x:c r="L31" s="153" t="str">
        <x:v>https://tver.lemanapro.ru/product/dushevaya-kabina-domani-spa-delight-slim-99-90x90x218-nizkiy-poddon-92085033/</x:v>
      </x:c>
    </x:row>
    <x:row r="32" ht="26.399999618530273" hidden="0" customHeight="1">
      <x:c r="A32" s="149" t="str">
        <x:v>Разовая</x:v>
      </x:c>
      <x:c r="B32" s="151" t="str">
        <x:v>B03</x:v>
      </x:c>
      <x:c r="C32" s="151" t="str">
        <x:v>Дом · санузел</x:v>
      </x:c>
      <x:c r="D32" s="151" t="str">
        <x:v>Сантехника</x:v>
      </x:c>
      <x:c r="E32" s="151" t="str">
        <x:v>Подвесная раковина с тумбой</x:v>
      </x:c>
      <x:c r="F32" s="151" t="str">
        <x:v>Сантехника</x:v>
      </x:c>
      <x:c r="G32" s="151" t="str">
        <x:v>шт.</x:v>
      </x:c>
      <x:c r="H32" s="150" t="n">
        <x:v>24312</x:v>
      </x:c>
      <x:c r="I32" s="151" t="str">
        <x:v>RETAIL SNAPSHOT</x:v>
      </x:c>
      <x:c r="J32" s="151" t="str">
        <x:v>Лемана ПРО</x:v>
      </x:c>
      <x:c r="K32" s="151" t="str">
        <x:v>PRODUCT CARD</x:v>
      </x:c>
      <x:c r="L32" s="153" t="str">
        <x:v>https://tver.lemanapro.ru/product/tumba-s-rakovinoy-garda-podvesnaya-60-sm-2-yashchika-cvet-sero-bezhevyy-89390141/</x:v>
      </x:c>
    </x:row>
    <x:row r="33" ht="26.399999618530273" hidden="0" customHeight="1">
      <x:c r="A33" s="149" t="str">
        <x:v>Разовая</x:v>
      </x:c>
      <x:c r="B33" s="151" t="str">
        <x:v>B04</x:v>
      </x:c>
      <x:c r="C33" s="151" t="str">
        <x:v>Дом · санузел</x:v>
      </x:c>
      <x:c r="D33" s="151" t="str">
        <x:v>Сантехника</x:v>
      </x:c>
      <x:c r="E33" s="151" t="str">
        <x:v>Смеситель для раковины</x:v>
      </x:c>
      <x:c r="F33" s="151" t="str">
        <x:v>Сантехника</x:v>
      </x:c>
      <x:c r="G33" s="151" t="str">
        <x:v>шт.</x:v>
      </x:c>
      <x:c r="H33" s="150" t="n">
        <x:v>3701</x:v>
      </x:c>
      <x:c r="I33" s="151" t="str">
        <x:v>RETAIL SNAPSHOT</x:v>
      </x:c>
      <x:c r="J33" s="151" t="str">
        <x:v>Лемана ПРО</x:v>
      </x:c>
      <x:c r="K33" s="151" t="str">
        <x:v>PRODUCT CARD</x:v>
      </x:c>
      <x:c r="L33" s="153" t="str">
        <x:v>https://ulyanovsk.lemanapro.ru/product/smesitel-dlya-rakoviny-esko-porto-odnorychazhnyy-cvet-chernyy-89409218/</x:v>
      </x:c>
    </x:row>
    <x:row r="34" ht="26.399999618530273" hidden="0" customHeight="1">
      <x:c r="A34" s="149" t="str">
        <x:v>Разовая</x:v>
      </x:c>
      <x:c r="B34" s="151" t="str">
        <x:v>B05</x:v>
      </x:c>
      <x:c r="C34" s="151" t="str">
        <x:v>Дом · санузел</x:v>
      </x:c>
      <x:c r="D34" s="151" t="str">
        <x:v>Сантехника</x:v>
      </x:c>
      <x:c r="E34" s="151" t="str">
        <x:v>Смеситель ванна/душ с гарнитуром</x:v>
      </x:c>
      <x:c r="F34" s="151" t="str">
        <x:v>Сантехника</x:v>
      </x:c>
      <x:c r="G34" s="151" t="str">
        <x:v>шт.</x:v>
      </x:c>
      <x:c r="H34" s="150" t="n">
        <x:v>17990</x:v>
      </x:c>
      <x:c r="I34" s="151" t="str">
        <x:v>RETAIL SNAPSHOT</x:v>
      </x:c>
      <x:c r="J34" s="151" t="str">
        <x:v>Лемана ПРО</x:v>
      </x:c>
      <x:c r="K34" s="151" t="str">
        <x:v>PRODUCT CARD</x:v>
      </x:c>
      <x:c r="L34" s="153" t="str">
        <x:v>https://ulyanovsk.lemanapro.ru/product/smesitel-dlya-vanny-odnorychazhnyy-cvet-chernyy-84534016/</x:v>
      </x:c>
    </x:row>
    <x:row r="35" ht="39.599998474121094" hidden="0" customHeight="1">
      <x:c r="A35" s="149" t="str">
        <x:v>Разовая</x:v>
      </x:c>
      <x:c r="B35" s="151" t="str">
        <x:v>B06</x:v>
      </x:c>
      <x:c r="C35" s="151" t="str">
        <x:v>Дом · санузел</x:v>
      </x:c>
      <x:c r="D35" s="151" t="str">
        <x:v>Сантехника</x:v>
      </x:c>
      <x:c r="E35" s="151" t="str">
        <x:v>Унитаз rimless со смывом Tornado</x:v>
      </x:c>
      <x:c r="F35" s="151" t="str">
        <x:v>Сантехника</x:v>
      </x:c>
      <x:c r="G35" s="151" t="str">
        <x:v>шт.</x:v>
      </x:c>
      <x:c r="H35" s="150" t="n">
        <x:v>26900</x:v>
      </x:c>
      <x:c r="I35" s="151" t="str">
        <x:v>RETAIL SNAPSHOT</x:v>
      </x:c>
      <x:c r="J35" s="151" t="str">
        <x:v>Лемана ПРО</x:v>
      </x:c>
      <x:c r="K35" s="151" t="str">
        <x:v>PRODUCT CARD</x:v>
      </x:c>
      <x:c r="L35" s="153" t="str">
        <x:v>https://tolyatti.lemanapro.ru/product/unitaz-kompakt-ampm-fresh-20-tornado-c8b8900lmsc-bezobodkovyy-sidene-s-mikroliftom-dvoynoy-smyv-89369234/</x:v>
      </x:c>
    </x:row>
    <x:row r="36" ht="26.399999618530273" hidden="0" customHeight="1">
      <x:c r="A36" s="149" t="str">
        <x:v>Разовая</x:v>
      </x:c>
      <x:c r="B36" s="151" t="str">
        <x:v>B07</x:v>
      </x:c>
      <x:c r="C36" s="151" t="str">
        <x:v>Дом · санузел</x:v>
      </x:c>
      <x:c r="D36" s="151" t="str">
        <x:v>Сантехника</x:v>
      </x:c>
      <x:c r="E36" s="151" t="str">
        <x:v>Зеркало с LED, фен, дозаторы, урна, ёрш</x:v>
      </x:c>
      <x:c r="F36" s="151" t="str">
        <x:v>OS&amp;E</x:v>
      </x:c>
      <x:c r="G36" s="151" t="str">
        <x:v>компл.</x:v>
      </x:c>
      <x:c r="H36" s="150" t="n">
        <x:v>28900</x:v>
      </x:c>
      <x:c r="I36" s="151" t="str">
        <x:v>BUDGETARY ALLOWANCE</x:v>
      </x:c>
      <x:c r="J36" s="151" t="str">
        <x:v>Лемана ПРО</x:v>
      </x:c>
      <x:c r="K36" s="151" t="str">
        <x:v>SOURCE</x:v>
      </x:c>
      <x:c r="L36" s="153" t="str">
        <x:v>https://lemanapro.ru/</x:v>
      </x:c>
    </x:row>
    <x:row r="37" ht="26.399999618530273" hidden="0" customHeight="1">
      <x:c r="A37" s="149" t="str">
        <x:v>Разовая</x:v>
      </x:c>
      <x:c r="B37" s="151" t="str">
        <x:v>T01</x:v>
      </x:c>
      <x:c r="C37" s="151" t="str">
        <x:v>Дом · текстиль</x:v>
      </x:c>
      <x:c r="D37" s="151" t="str">
        <x:v>Текстиль</x:v>
      </x:c>
      <x:c r="E37" s="151" t="str">
        <x:v>Подушка hotel-grade 50×70</x:v>
      </x:c>
      <x:c r="F37" s="151" t="str">
        <x:v>Sleep</x:v>
      </x:c>
      <x:c r="G37" s="151" t="str">
        <x:v>шт.</x:v>
      </x:c>
      <x:c r="H37" s="150" t="n">
        <x:v>560</x:v>
      </x:c>
      <x:c r="I37" s="151" t="str">
        <x:v>PUBLIC PRICE</x:v>
      </x:c>
      <x:c r="J37" s="151" t="str">
        <x:v>Дом Хлопка</x:v>
      </x:c>
      <x:c r="K37" s="151" t="str">
        <x:v>SOURCE</x:v>
      </x:c>
      <x:c r="L37" s="153" t="str">
        <x:v>https://dom-hlopka.ru/f/Price-list-podushki-odeyala-namatrasniki.pdf</x:v>
      </x:c>
    </x:row>
    <x:row r="38" ht="26.399999618530273" hidden="0" customHeight="1">
      <x:c r="A38" s="149" t="str">
        <x:v>Разовая</x:v>
      </x:c>
      <x:c r="B38" s="151" t="str">
        <x:v>T02</x:v>
      </x:c>
      <x:c r="C38" s="151" t="str">
        <x:v>Дом · текстиль</x:v>
      </x:c>
      <x:c r="D38" s="151" t="str">
        <x:v>Текстиль</x:v>
      </x:c>
      <x:c r="E38" s="151" t="str">
        <x:v>Одеяло всесезонное</x:v>
      </x:c>
      <x:c r="F38" s="151" t="str">
        <x:v>Sleep</x:v>
      </x:c>
      <x:c r="G38" s="151" t="str">
        <x:v>шт.</x:v>
      </x:c>
      <x:c r="H38" s="150" t="n">
        <x:v>2100</x:v>
      </x:c>
      <x:c r="I38" s="151" t="str">
        <x:v>BUDGETARY ALLOWANCE</x:v>
      </x:c>
      <x:c r="J38" s="151" t="str">
        <x:v>Дом Хлопка</x:v>
      </x:c>
      <x:c r="K38" s="151" t="str">
        <x:v>SOURCE</x:v>
      </x:c>
      <x:c r="L38" s="153" t="str">
        <x:v>https://dom-hlopka.ru/f/Price-list-podushki-odeyala-namatrasniki.pdf</x:v>
      </x:c>
    </x:row>
    <x:row r="39" ht="26.399999618530273" hidden="0" customHeight="1">
      <x:c r="A39" s="149" t="str">
        <x:v>Разовая</x:v>
      </x:c>
      <x:c r="B39" s="151" t="str">
        <x:v>T03</x:v>
      </x:c>
      <x:c r="C39" s="151" t="str">
        <x:v>Дом · текстиль</x:v>
      </x:c>
      <x:c r="D39" s="151" t="str">
        <x:v>Текстиль</x:v>
      </x:c>
      <x:c r="E39" s="151" t="str">
        <x:v>Наматрасник водонепроницаемый</x:v>
      </x:c>
      <x:c r="F39" s="151" t="str">
        <x:v>Sleep</x:v>
      </x:c>
      <x:c r="G39" s="151" t="str">
        <x:v>шт.</x:v>
      </x:c>
      <x:c r="H39" s="150" t="n">
        <x:v>1800</x:v>
      </x:c>
      <x:c r="I39" s="151" t="str">
        <x:v>BUDGETARY ALLOWANCE</x:v>
      </x:c>
      <x:c r="J39" s="151" t="str">
        <x:v>Дом Хлопка</x:v>
      </x:c>
      <x:c r="K39" s="151" t="str">
        <x:v>SOURCE</x:v>
      </x:c>
      <x:c r="L39" s="153" t="str">
        <x:v>https://dom-hlopka.ru/f/Price-list-podushki-odeyala-namatrasniki.pdf</x:v>
      </x:c>
    </x:row>
    <x:row r="40" ht="15" hidden="0" customHeight="1">
      <x:c r="A40" s="149" t="str">
        <x:v>Разовая</x:v>
      </x:c>
      <x:c r="B40" s="151" t="str">
        <x:v>T04</x:v>
      </x:c>
      <x:c r="C40" s="151" t="str">
        <x:v>Дом · текстиль</x:v>
      </x:c>
      <x:c r="D40" s="151" t="str">
        <x:v>Текстиль</x:v>
      </x:c>
      <x:c r="E40" s="151" t="str">
        <x:v>Комплект постельного белья страйп-сатин, 3 par</x:v>
      </x:c>
      <x:c r="F40" s="151" t="str">
        <x:v>Linen</x:v>
      </x:c>
      <x:c r="G40" s="151" t="str">
        <x:v>компл.</x:v>
      </x:c>
      <x:c r="H40" s="150" t="n">
        <x:v>3100</x:v>
      </x:c>
      <x:c r="I40" s="151" t="str">
        <x:v>PUBLIC PRICE</x:v>
      </x:c>
      <x:c r="J40" s="151" t="str">
        <x:v>Unelle</x:v>
      </x:c>
      <x:c r="K40" s="151" t="str">
        <x:v>SOURCE</x:v>
      </x:c>
      <x:c r="L40" s="153" t="str">
        <x:v>https://unelle-shop.ru/</x:v>
      </x:c>
    </x:row>
    <x:row r="41" ht="15" hidden="0" customHeight="1">
      <x:c r="A41" s="149" t="str">
        <x:v>Разовая</x:v>
      </x:c>
      <x:c r="B41" s="151" t="str">
        <x:v>T05</x:v>
      </x:c>
      <x:c r="C41" s="151" t="str">
        <x:v>Дом · текстиль</x:v>
      </x:c>
      <x:c r="D41" s="151" t="str">
        <x:v>Текстиль</x:v>
      </x:c>
      <x:c r="E41" s="151" t="str">
        <x:v>Полотенце банное 70×140, 500 г/м², 3 par</x:v>
      </x:c>
      <x:c r="F41" s="151" t="str">
        <x:v>Towels</x:v>
      </x:c>
      <x:c r="G41" s="151" t="str">
        <x:v>шт.</x:v>
      </x:c>
      <x:c r="H41" s="150" t="n">
        <x:v>480</x:v>
      </x:c>
      <x:c r="I41" s="151" t="str">
        <x:v>PUBLIC PRICE</x:v>
      </x:c>
      <x:c r="J41" s="151" t="str">
        <x:v>Дом Хлопка</x:v>
      </x:c>
      <x:c r="K41" s="151" t="str">
        <x:v>SOURCE</x:v>
      </x:c>
      <x:c r="L41" s="153" t="str">
        <x:v>https://dom-hlopka.ru/f/Price-list-polotenca.pdf</x:v>
      </x:c>
    </x:row>
    <x:row r="42" ht="15" hidden="0" customHeight="1">
      <x:c r="A42" s="149" t="str">
        <x:v>Разовая</x:v>
      </x:c>
      <x:c r="B42" s="151" t="str">
        <x:v>T06</x:v>
      </x:c>
      <x:c r="C42" s="151" t="str">
        <x:v>Дом · текстиль</x:v>
      </x:c>
      <x:c r="D42" s="151" t="str">
        <x:v>Текстиль</x:v>
      </x:c>
      <x:c r="E42" s="151" t="str">
        <x:v>Полотенце для рук 50×90, 500 г/м², 3 par</x:v>
      </x:c>
      <x:c r="F42" s="151" t="str">
        <x:v>Towels</x:v>
      </x:c>
      <x:c r="G42" s="151" t="str">
        <x:v>шт.</x:v>
      </x:c>
      <x:c r="H42" s="150" t="n">
        <x:v>240</x:v>
      </x:c>
      <x:c r="I42" s="151" t="str">
        <x:v>PUBLIC PRICE</x:v>
      </x:c>
      <x:c r="J42" s="151" t="str">
        <x:v>Дом Хлопка</x:v>
      </x:c>
      <x:c r="K42" s="151" t="str">
        <x:v>SOURCE</x:v>
      </x:c>
      <x:c r="L42" s="153" t="str">
        <x:v>https://dom-hlopka.ru/f/Price-list-polotenca.pdf</x:v>
      </x:c>
    </x:row>
    <x:row r="43" ht="15" hidden="0" customHeight="1">
      <x:c r="A43" s="149" t="str">
        <x:v>Разовая</x:v>
      </x:c>
      <x:c r="B43" s="151" t="str">
        <x:v>T07</x:v>
      </x:c>
      <x:c r="C43" s="151" t="str">
        <x:v>Дом · текстиль</x:v>
      </x:c>
      <x:c r="D43" s="151" t="str">
        <x:v>Текстиль</x:v>
      </x:c>
      <x:c r="E43" s="151" t="str">
        <x:v>Полотенце косметическое 33×50, 3 par</x:v>
      </x:c>
      <x:c r="F43" s="151" t="str">
        <x:v>Towels</x:v>
      </x:c>
      <x:c r="G43" s="151" t="str">
        <x:v>шт.</x:v>
      </x:c>
      <x:c r="H43" s="150" t="n">
        <x:v>70</x:v>
      </x:c>
      <x:c r="I43" s="151" t="str">
        <x:v>PUBLIC PRICE</x:v>
      </x:c>
      <x:c r="J43" s="151" t="str">
        <x:v>Дом Хлопка</x:v>
      </x:c>
      <x:c r="K43" s="151" t="str">
        <x:v>SOURCE</x:v>
      </x:c>
      <x:c r="L43" s="153" t="str">
        <x:v>https://dom-hlopka.ru/f/Price-list-polotenca.pdf</x:v>
      </x:c>
    </x:row>
    <x:row r="44" ht="15" hidden="0" customHeight="1">
      <x:c r="A44" s="149" t="str">
        <x:v>Разовая</x:v>
      </x:c>
      <x:c r="B44" s="151" t="str">
        <x:v>T08</x:v>
      </x:c>
      <x:c r="C44" s="151" t="str">
        <x:v>Дом · текстиль</x:v>
      </x:c>
      <x:c r="D44" s="151" t="str">
        <x:v>Текстиль</x:v>
      </x:c>
      <x:c r="E44" s="151" t="str">
        <x:v>Халат махровый гостиничный, 2 par</x:v>
      </x:c>
      <x:c r="F44" s="151" t="str">
        <x:v>SPA</x:v>
      </x:c>
      <x:c r="G44" s="151" t="str">
        <x:v>шт.</x:v>
      </x:c>
      <x:c r="H44" s="150" t="n">
        <x:v>1440</x:v>
      </x:c>
      <x:c r="I44" s="151" t="str">
        <x:v>PUBLIC PRICE</x:v>
      </x:c>
      <x:c r="J44" s="151" t="str">
        <x:v>Дом Хлопка</x:v>
      </x:c>
      <x:c r="K44" s="151" t="str">
        <x:v>SOURCE</x:v>
      </x:c>
      <x:c r="L44" s="153" t="str">
        <x:v>https://dom-hlopka.ru/f/Price-list-halaty.pdf</x:v>
      </x:c>
    </x:row>
    <x:row r="45" ht="26.399999618530273" hidden="0" customHeight="1">
      <x:c r="A45" s="149" t="str">
        <x:v>Разовая</x:v>
      </x:c>
      <x:c r="B45" s="151" t="str">
        <x:v>T09</x:v>
      </x:c>
      <x:c r="C45" s="151" t="str">
        <x:v>Дом · текстиль</x:v>
      </x:c>
      <x:c r="D45" s="151" t="str">
        <x:v>Текстиль</x:v>
      </x:c>
      <x:c r="E45" s="151" t="str">
        <x:v>Пледы, покрывала, декоративные подушки</x:v>
      </x:c>
      <x:c r="F45" s="151" t="str">
        <x:v>Decor</x:v>
      </x:c>
      <x:c r="G45" s="151" t="str">
        <x:v>компл.</x:v>
      </x:c>
      <x:c r="H45" s="150" t="n">
        <x:v>24000</x:v>
      </x:c>
      <x:c r="I45" s="151" t="str">
        <x:v>BUDGETARY ALLOWANCE</x:v>
      </x:c>
      <x:c r="J45" s="151" t="str">
        <x:v>Коммерческое предложение</x:v>
      </x:c>
      <x:c r="K45" s="151" t="str">
        <x:v>RFQ</x:v>
      </x:c>
      <x:c r="L45" s="153" t="str">
        <x:v>#procurement</x:v>
      </x:c>
    </x:row>
    <x:row r="46" ht="26.399999618530273" hidden="0" customHeight="1">
      <x:c r="A46" s="149" t="str">
        <x:v>Разовая</x:v>
      </x:c>
      <x:c r="B46" s="151" t="str">
        <x:v>E01</x:v>
      </x:c>
      <x:c r="C46" s="151" t="str">
        <x:v>Дом · техника</x:v>
      </x:c>
      <x:c r="D46" s="151" t="str">
        <x:v>Техника и безопасность</x:v>
      </x:c>
      <x:c r="E46" s="151" t="str">
        <x:v>Smart TV 43–55 дюймов</x:v>
      </x:c>
      <x:c r="F46" s="151" t="str">
        <x:v>Guest tech</x:v>
      </x:c>
      <x:c r="G46" s="151" t="str">
        <x:v>шт.</x:v>
      </x:c>
      <x:c r="H46" s="150" t="n">
        <x:v>34990</x:v>
      </x:c>
      <x:c r="I46" s="151" t="str">
        <x:v>BUDGETARY ALLOWANCE</x:v>
      </x:c>
      <x:c r="J46" s="151" t="str">
        <x:v>Коммерческое предложение</x:v>
      </x:c>
      <x:c r="K46" s="151" t="str">
        <x:v>RFQ</x:v>
      </x:c>
      <x:c r="L46" s="153" t="str">
        <x:v>#procurement</x:v>
      </x:c>
    </x:row>
    <x:row r="47" ht="26.399999618530273" hidden="0" customHeight="1">
      <x:c r="A47" s="149" t="str">
        <x:v>Разовая</x:v>
      </x:c>
      <x:c r="B47" s="151" t="str">
        <x:v>E02</x:v>
      </x:c>
      <x:c r="C47" s="151" t="str">
        <x:v>Дом · техника</x:v>
      </x:c>
      <x:c r="D47" s="151" t="str">
        <x:v>Техника и безопасность</x:v>
      </x:c>
      <x:c r="E47" s="151" t="str">
        <x:v>Умная колонка / голосовой помощник</x:v>
      </x:c>
      <x:c r="F47" s="151" t="str">
        <x:v>Guest tech</x:v>
      </x:c>
      <x:c r="G47" s="151" t="str">
        <x:v>шт.</x:v>
      </x:c>
      <x:c r="H47" s="150" t="n">
        <x:v>12990</x:v>
      </x:c>
      <x:c r="I47" s="151" t="str">
        <x:v>BUDGETARY ALLOWANCE</x:v>
      </x:c>
      <x:c r="J47" s="151" t="str">
        <x:v>Коммерческое предложение</x:v>
      </x:c>
      <x:c r="K47" s="151" t="str">
        <x:v>RFQ</x:v>
      </x:c>
      <x:c r="L47" s="153" t="str">
        <x:v>#procurement</x:v>
      </x:c>
    </x:row>
    <x:row r="48" ht="26.399999618530273" hidden="0" customHeight="1">
      <x:c r="A48" s="149" t="str">
        <x:v>Разовая</x:v>
      </x:c>
      <x:c r="B48" s="151" t="str">
        <x:v>E03</x:v>
      </x:c>
      <x:c r="C48" s="151" t="str">
        <x:v>Дом · техника</x:v>
      </x:c>
      <x:c r="D48" s="151" t="str">
        <x:v>Техника и безопасность</x:v>
      </x:c>
      <x:c r="E48" s="151" t="str">
        <x:v>Wi-Fi access point / mesh node</x:v>
      </x:c>
      <x:c r="F48" s="151" t="str">
        <x:v>Guest tech</x:v>
      </x:c>
      <x:c r="G48" s="151" t="str">
        <x:v>шт.</x:v>
      </x:c>
      <x:c r="H48" s="150" t="n">
        <x:v>11900</x:v>
      </x:c>
      <x:c r="I48" s="151" t="str">
        <x:v>BUDGETARY ALLOWANCE</x:v>
      </x:c>
      <x:c r="J48" s="151" t="str">
        <x:v>Коммерческое предложение</x:v>
      </x:c>
      <x:c r="K48" s="151" t="str">
        <x:v>RFQ</x:v>
      </x:c>
      <x:c r="L48" s="153" t="str">
        <x:v>#procurement</x:v>
      </x:c>
    </x:row>
    <x:row r="49" ht="26.399999618530273" hidden="0" customHeight="1">
      <x:c r="A49" s="149" t="str">
        <x:v>Разовая</x:v>
      </x:c>
      <x:c r="B49" s="151" t="str">
        <x:v>E04</x:v>
      </x:c>
      <x:c r="C49" s="151" t="str">
        <x:v>Дом · безопасность</x:v>
      </x:c>
      <x:c r="D49" s="151" t="str">
        <x:v>Техника и безопасность</x:v>
      </x:c>
      <x:c r="E49" s="151" t="str">
        <x:v>Электронный замок / self check-in</x:v>
      </x:c>
      <x:c r="F49" s="151" t="str">
        <x:v>Safety</x:v>
      </x:c>
      <x:c r="G49" s="151" t="str">
        <x:v>шт.</x:v>
      </x:c>
      <x:c r="H49" s="150" t="n">
        <x:v>34900</x:v>
      </x:c>
      <x:c r="I49" s="151" t="str">
        <x:v>RFQ REQUIRED</x:v>
      </x:c>
      <x:c r="J49" s="151" t="str">
        <x:v>Коммерческое предложение</x:v>
      </x:c>
      <x:c r="K49" s="151" t="str">
        <x:v>RFQ</x:v>
      </x:c>
      <x:c r="L49" s="153" t="str">
        <x:v>#procurement</x:v>
      </x:c>
    </x:row>
    <x:row r="50" ht="26.399999618530273" hidden="0" customHeight="1">
      <x:c r="A50" s="149" t="str">
        <x:v>Разовая</x:v>
      </x:c>
      <x:c r="B50" s="151" t="str">
        <x:v>E05</x:v>
      </x:c>
      <x:c r="C50" s="151" t="str">
        <x:v>Дом · безопасность</x:v>
      </x:c>
      <x:c r="D50" s="151" t="str">
        <x:v>Техника и безопасность</x:v>
      </x:c>
      <x:c r="E50" s="151" t="str">
        <x:v>Огнетушитель, датчики дыма/CO, аптечка</x:v>
      </x:c>
      <x:c r="F50" s="151" t="str">
        <x:v>Safety</x:v>
      </x:c>
      <x:c r="G50" s="151" t="str">
        <x:v>компл.</x:v>
      </x:c>
      <x:c r="H50" s="150" t="n">
        <x:v>14500</x:v>
      </x:c>
      <x:c r="I50" s="151" t="str">
        <x:v>BUDGETARY ALLOWANCE</x:v>
      </x:c>
      <x:c r="J50" s="151" t="str">
        <x:v>Коммерческое предложение</x:v>
      </x:c>
      <x:c r="K50" s="151" t="str">
        <x:v>RFQ</x:v>
      </x:c>
      <x:c r="L50" s="153" t="str">
        <x:v>#procurement</x:v>
      </x:c>
    </x:row>
    <x:row r="51" ht="26.399999618530273" hidden="0" customHeight="1">
      <x:c r="A51" s="149" t="str">
        <x:v>Разовая</x:v>
      </x:c>
      <x:c r="B51" s="151" t="str">
        <x:v>E06</x:v>
      </x:c>
      <x:c r="C51" s="151" t="str">
        <x:v>Дом · эксплуатация</x:v>
      </x:c>
      <x:c r="D51" s="151" t="str">
        <x:v>Техника и безопасность</x:v>
      </x:c>
      <x:c r="E51" s="151" t="str">
        <x:v>Утюг, доска, сушилка, сейф</x:v>
      </x:c>
      <x:c r="F51" s="151" t="str">
        <x:v>OS&amp;E</x:v>
      </x:c>
      <x:c r="G51" s="151" t="str">
        <x:v>компл.</x:v>
      </x:c>
      <x:c r="H51" s="150" t="n">
        <x:v>22900</x:v>
      </x:c>
      <x:c r="I51" s="151" t="str">
        <x:v>BUDGETARY ALLOWANCE</x:v>
      </x:c>
      <x:c r="J51" s="151" t="str">
        <x:v>Коммерческое предложение</x:v>
      </x:c>
      <x:c r="K51" s="151" t="str">
        <x:v>RFQ</x:v>
      </x:c>
      <x:c r="L51" s="153" t="str">
        <x:v>#procurement</x:v>
      </x:c>
    </x:row>
    <x:row r="52" ht="26.399999618530273" hidden="0" customHeight="1">
      <x:c r="A52" s="149" t="str">
        <x:v>Разовая</x:v>
      </x:c>
      <x:c r="B52" s="151" t="str">
        <x:v>S01</x:v>
      </x:c>
      <x:c r="C52" s="151" t="str">
        <x:v>Банный модуль</x:v>
      </x:c>
      <x:c r="D52" s="151" t="str">
        <x:v>Баня и чан</x:v>
      </x:c>
      <x:c r="E52" s="151" t="str">
        <x:v>Душевая кабина 90×90 + смеситель</x:v>
      </x:c>
      <x:c r="F52" s="151" t="str">
        <x:v>Сантехника</x:v>
      </x:c>
      <x:c r="G52" s="151" t="str">
        <x:v>компл.</x:v>
      </x:c>
      <x:c r="H52" s="150" t="n">
        <x:v>33429</x:v>
      </x:c>
      <x:c r="I52" s="151" t="str">
        <x:v>RETAIL SNAPSHOT</x:v>
      </x:c>
      <x:c r="J52" s="151" t="str">
        <x:v>Лемана ПРО</x:v>
      </x:c>
      <x:c r="K52" s="151" t="str">
        <x:v>PRODUCT CARD</x:v>
      </x:c>
      <x:c r="L52" s="153" t="str">
        <x:v>https://tver.lemanapro.ru/product/dushevaya-kabina-domani-spa-delight-slim-99-90x90x218-nizkiy-poddon-92085033/</x:v>
      </x:c>
    </x:row>
    <x:row r="53" ht="26.399999618530273" hidden="0" customHeight="1">
      <x:c r="A53" s="149" t="str">
        <x:v>Разовая</x:v>
      </x:c>
      <x:c r="B53" s="151" t="str">
        <x:v>S02</x:v>
      </x:c>
      <x:c r="C53" s="151" t="str">
        <x:v>Банный модуль</x:v>
      </x:c>
      <x:c r="D53" s="151" t="str">
        <x:v>Баня и чан</x:v>
      </x:c>
      <x:c r="E53" s="151" t="str">
        <x:v>Шайка, ковш, ведро, термометр, часы</x:v>
      </x:c>
      <x:c r="F53" s="151" t="str">
        <x:v>Банные принадлежности</x:v>
      </x:c>
      <x:c r="G53" s="151" t="str">
        <x:v>компл.</x:v>
      </x:c>
      <x:c r="H53" s="150" t="n">
        <x:v>14900</x:v>
      </x:c>
      <x:c r="I53" s="151" t="str">
        <x:v>BUDGETARY ALLOWANCE</x:v>
      </x:c>
      <x:c r="J53" s="151" t="str">
        <x:v>Коммерческое предложение</x:v>
      </x:c>
      <x:c r="K53" s="151" t="str">
        <x:v>RFQ</x:v>
      </x:c>
      <x:c r="L53" s="153" t="str">
        <x:v>#procurement</x:v>
      </x:c>
    </x:row>
    <x:row r="54" ht="26.399999618530273" hidden="0" customHeight="1">
      <x:c r="A54" s="149" t="str">
        <x:v>Разовая</x:v>
      </x:c>
      <x:c r="B54" s="151" t="str">
        <x:v>S03</x:v>
      </x:c>
      <x:c r="C54" s="151" t="str">
        <x:v>Банный модуль</x:v>
      </x:c>
      <x:c r="D54" s="151" t="str">
        <x:v>Баня и чан</x:v>
      </x:c>
      <x:c r="E54" s="151" t="str">
        <x:v>Банные шапки многоразовые</x:v>
      </x:c>
      <x:c r="F54" s="151" t="str">
        <x:v>Банные принадлежности</x:v>
      </x:c>
      <x:c r="G54" s="151" t="str">
        <x:v>шт.</x:v>
      </x:c>
      <x:c r="H54" s="150" t="n">
        <x:v>650</x:v>
      </x:c>
      <x:c r="I54" s="151" t="str">
        <x:v>BUDGETARY ALLOWANCE</x:v>
      </x:c>
      <x:c r="J54" s="151" t="str">
        <x:v>Коммерческое предложение</x:v>
      </x:c>
      <x:c r="K54" s="151" t="str">
        <x:v>RFQ</x:v>
      </x:c>
      <x:c r="L54" s="153" t="str">
        <x:v>#procurement</x:v>
      </x:c>
    </x:row>
    <x:row r="55" ht="15" hidden="0" customHeight="1">
      <x:c r="A55" s="149" t="str">
        <x:v>Разовая</x:v>
      </x:c>
      <x:c r="B55" s="151" t="str">
        <x:v>S04</x:v>
      </x:c>
      <x:c r="C55" s="151" t="str">
        <x:v>Банный модуль</x:v>
      </x:c>
      <x:c r="D55" s="151" t="str">
        <x:v>Баня и чан</x:v>
      </x:c>
      <x:c r="E55" s="151" t="str">
        <x:v>Килт/парео и банное полотенце, 2 par</x:v>
      </x:c>
      <x:c r="F55" s="151" t="str">
        <x:v>Текстиль</x:v>
      </x:c>
      <x:c r="G55" s="151" t="str">
        <x:v>компл.</x:v>
      </x:c>
      <x:c r="H55" s="150" t="n">
        <x:v>2340</x:v>
      </x:c>
      <x:c r="I55" s="151" t="str">
        <x:v>PUBLIC PRICE</x:v>
      </x:c>
      <x:c r="J55" s="151" t="str">
        <x:v>Дом Хлопка</x:v>
      </x:c>
      <x:c r="K55" s="151" t="str">
        <x:v>SOURCE</x:v>
      </x:c>
      <x:c r="L55" s="153" t="str">
        <x:v>https://dom-hlopka.ru/</x:v>
      </x:c>
    </x:row>
    <x:row r="56" ht="26.399999618530273" hidden="0" customHeight="1">
      <x:c r="A56" s="149" t="str">
        <x:v>Разовая</x:v>
      </x:c>
      <x:c r="B56" s="151" t="str">
        <x:v>S05</x:v>
      </x:c>
      <x:c r="C56" s="151" t="str">
        <x:v>Банный модуль</x:v>
      </x:c>
      <x:c r="D56" s="151" t="str">
        <x:v>Баня и чан</x:v>
      </x:c>
      <x:c r="E56" s="151" t="str">
        <x:v>Стол, лавка, вешалки, полки</x:v>
      </x:c>
      <x:c r="F56" s="151" t="str">
        <x:v>Мебель</x:v>
      </x:c>
      <x:c r="G56" s="151" t="str">
        <x:v>компл.</x:v>
      </x:c>
      <x:c r="H56" s="150" t="n">
        <x:v>42000</x:v>
      </x:c>
      <x:c r="I56" s="151" t="str">
        <x:v>RFQ REQUIRED</x:v>
      </x:c>
      <x:c r="J56" s="151" t="str">
        <x:v>Коммерческое предложение</x:v>
      </x:c>
      <x:c r="K56" s="151" t="str">
        <x:v>RFQ</x:v>
      </x:c>
      <x:c r="L56" s="153" t="str">
        <x:v>#procurement</x:v>
      </x:c>
    </x:row>
    <x:row r="57" ht="26.399999618530273" hidden="0" customHeight="1">
      <x:c r="A57" s="149" t="str">
        <x:v>Разовая</x:v>
      </x:c>
      <x:c r="B57" s="151" t="str">
        <x:v>S06</x:v>
      </x:c>
      <x:c r="C57" s="151" t="str">
        <x:v>Банный модуль</x:v>
      </x:c>
      <x:c r="D57" s="151" t="str">
        <x:v>Баня и чан</x:v>
      </x:c>
      <x:c r="E57" s="151" t="str">
        <x:v>Огнетушитель, экран печи, аптечка</x:v>
      </x:c>
      <x:c r="F57" s="151" t="str">
        <x:v>Safety</x:v>
      </x:c>
      <x:c r="G57" s="151" t="str">
        <x:v>компл.</x:v>
      </x:c>
      <x:c r="H57" s="150" t="n">
        <x:v>18000</x:v>
      </x:c>
      <x:c r="I57" s="151" t="str">
        <x:v>RFQ REQUIRED</x:v>
      </x:c>
      <x:c r="J57" s="151" t="str">
        <x:v>Коммерческое предложение</x:v>
      </x:c>
      <x:c r="K57" s="151" t="str">
        <x:v>RFQ</x:v>
      </x:c>
      <x:c r="L57" s="153" t="str">
        <x:v>#procurement</x:v>
      </x:c>
    </x:row>
    <x:row r="58" ht="26.399999618530273" hidden="0" customHeight="1">
      <x:c r="A58" s="149" t="str">
        <x:v>Разовая</x:v>
      </x:c>
      <x:c r="B58" s="151" t="str">
        <x:v>P01</x:v>
      </x:c>
      <x:c r="C58" s="151" t="str">
        <x:v>Участок дома</x:v>
      </x:c>
      <x:c r="D58" s="151" t="str">
        <x:v>Участок</x:v>
      </x:c>
      <x:c r="E58" s="151" t="str">
        <x:v>Террасный стол и кресла</x:v>
      </x:c>
      <x:c r="F58" s="151" t="str">
        <x:v>Outdoor furniture</x:v>
      </x:c>
      <x:c r="G58" s="151" t="str">
        <x:v>компл.</x:v>
      </x:c>
      <x:c r="H58" s="150" t="n">
        <x:v>54900</x:v>
      </x:c>
      <x:c r="I58" s="151" t="str">
        <x:v>BUDGETARY ALLOWANCE</x:v>
      </x:c>
      <x:c r="J58" s="151" t="str">
        <x:v>Коммерческое предложение</x:v>
      </x:c>
      <x:c r="K58" s="151" t="str">
        <x:v>RFQ</x:v>
      </x:c>
      <x:c r="L58" s="153" t="str">
        <x:v>#procurement</x:v>
      </x:c>
    </x:row>
    <x:row r="59" ht="26.399999618530273" hidden="0" customHeight="1">
      <x:c r="A59" s="149" t="str">
        <x:v>Разовая</x:v>
      </x:c>
      <x:c r="B59" s="151" t="str">
        <x:v>P02</x:v>
      </x:c>
      <x:c r="C59" s="151" t="str">
        <x:v>Участок дома</x:v>
      </x:c>
      <x:c r="D59" s="151" t="str">
        <x:v>Участок</x:v>
      </x:c>
      <x:c r="E59" s="151" t="str">
        <x:v>Мангал/гриль, шампуры, решётка, инструмент</x:v>
      </x:c>
      <x:c r="F59" s="151" t="str">
        <x:v>BBQ</x:v>
      </x:c>
      <x:c r="G59" s="151" t="str">
        <x:v>компл.</x:v>
      </x:c>
      <x:c r="H59" s="150" t="n">
        <x:v>28900</x:v>
      </x:c>
      <x:c r="I59" s="151" t="str">
        <x:v>BUDGETARY ALLOWANCE</x:v>
      </x:c>
      <x:c r="J59" s="151" t="str">
        <x:v>Коммерческое предложение</x:v>
      </x:c>
      <x:c r="K59" s="151" t="str">
        <x:v>RFQ</x:v>
      </x:c>
      <x:c r="L59" s="153" t="str">
        <x:v>#procurement</x:v>
      </x:c>
    </x:row>
    <x:row r="60" ht="26.399999618530273" hidden="0" customHeight="1">
      <x:c r="A60" s="149" t="str">
        <x:v>Разовая</x:v>
      </x:c>
      <x:c r="B60" s="151" t="str">
        <x:v>P03</x:v>
      </x:c>
      <x:c r="C60" s="151" t="str">
        <x:v>Участок дома</x:v>
      </x:c>
      <x:c r="D60" s="151" t="str">
        <x:v>Участок</x:v>
      </x:c>
      <x:c r="E60" s="151" t="str">
        <x:v>LED-болларды IP65 вдоль дорожек</x:v>
      </x:c>
      <x:c r="F60" s="151" t="str">
        <x:v>Освещение</x:v>
      </x:c>
      <x:c r="G60" s="151" t="str">
        <x:v>шт.</x:v>
      </x:c>
      <x:c r="H60" s="150" t="n">
        <x:v>3500</x:v>
      </x:c>
      <x:c r="I60" s="151" t="str">
        <x:v>RETAIL SNAPSHOT</x:v>
      </x:c>
      <x:c r="J60" s="151" t="str">
        <x:v>Лемана ПРО</x:v>
      </x:c>
      <x:c r="K60" s="151" t="str">
        <x:v>PRODUCT CARD</x:v>
      </x:c>
      <x:c r="L60" s="153" t="str">
        <x:v>https://lemanapro.ru/product/fonarnyy-stolb-ulichnyy-smartbuy-square-60-sm-cvet-chernyy-89402558/</x:v>
      </x:c>
    </x:row>
    <x:row r="61" ht="26.399999618530273" hidden="0" customHeight="1">
      <x:c r="A61" s="149" t="str">
        <x:v>Разовая</x:v>
      </x:c>
      <x:c r="B61" s="151" t="str">
        <x:v>P04</x:v>
      </x:c>
      <x:c r="C61" s="151" t="str">
        <x:v>Участок дома</x:v>
      </x:c>
      <x:c r="D61" s="151" t="str">
        <x:v>Участок</x:v>
      </x:c>
      <x:c r="E61" s="151" t="str">
        <x:v>LED-подсветка фасада/растений IP65</x:v>
      </x:c>
      <x:c r="F61" s="151" t="str">
        <x:v>Освещение</x:v>
      </x:c>
      <x:c r="G61" s="151" t="str">
        <x:v>шт.</x:v>
      </x:c>
      <x:c r="H61" s="150" t="n">
        <x:v>1640</x:v>
      </x:c>
      <x:c r="I61" s="151" t="str">
        <x:v>RETAIL SNAPSHOT</x:v>
      </x:c>
      <x:c r="J61" s="151" t="str">
        <x:v>Лемана ПРО</x:v>
      </x:c>
      <x:c r="K61" s="151" t="str">
        <x:v>PRODUCT CARD</x:v>
      </x:c>
      <x:c r="L61" s="153" t="str">
        <x:v>https://lemanapro.ru/product/spot-sadovo-parkovyy-inspire-ada-pod-lampu-gu10-28-vt-ip65-cvet-chernyy-82664539/</x:v>
      </x:c>
    </x:row>
    <x:row r="62" ht="26.399999618530273" hidden="0" customHeight="1">
      <x:c r="A62" s="149" t="str">
        <x:v>Разовая</x:v>
      </x:c>
      <x:c r="B62" s="151" t="str">
        <x:v>P05</x:v>
      </x:c>
      <x:c r="C62" s="151" t="str">
        <x:v>Участок дома</x:v>
      </x:c>
      <x:c r="D62" s="151" t="str">
        <x:v>Участок</x:v>
      </x:c>
      <x:c r="E62" s="151" t="str">
        <x:v>Кабель, автоматика, датчики, монтаж света участка</x:v>
      </x:c>
      <x:c r="F62" s="151" t="str">
        <x:v>Освещение</x:v>
      </x:c>
      <x:c r="G62" s="151" t="str">
        <x:v>компл.</x:v>
      </x:c>
      <x:c r="H62" s="150" t="n">
        <x:v>65000</x:v>
      </x:c>
      <x:c r="I62" s="151" t="str">
        <x:v>RFQ REQUIRED</x:v>
      </x:c>
      <x:c r="J62" s="151" t="str">
        <x:v>Коммерческое предложение</x:v>
      </x:c>
      <x:c r="K62" s="151" t="str">
        <x:v>RFQ</x:v>
      </x:c>
      <x:c r="L62" s="153" t="str">
        <x:v>#procurement</x:v>
      </x:c>
    </x:row>
    <x:row r="63" ht="26.399999618530273" hidden="0" customHeight="1">
      <x:c r="A63" s="149" t="str">
        <x:v>Разовая</x:v>
      </x:c>
      <x:c r="B63" s="151" t="str">
        <x:v>L01</x:v>
      </x:c>
      <x:c r="C63" s="151" t="str">
        <x:v>Общая дорога</x:v>
      </x:c>
      <x:c r="D63" s="151" t="str">
        <x:v>Дорожное освещение</x:v>
      </x:c>
      <x:c r="E63" s="151" t="str">
        <x:v>Опора освещения 6 м оцинкованная</x:v>
      </x:c>
      <x:c r="F63" s="151" t="str">
        <x:v>Освещение</x:v>
      </x:c>
      <x:c r="G63" s="151" t="str">
        <x:v>шт.</x:v>
      </x:c>
      <x:c r="H63" s="150" t="n">
        <x:v>36000</x:v>
      </x:c>
      <x:c r="I63" s="151" t="str">
        <x:v>PUBLIC PRICE</x:v>
      </x:c>
      <x:c r="J63" s="151" t="str">
        <x:v>ГлавЗабор</x:v>
      </x:c>
      <x:c r="K63" s="151" t="str">
        <x:v>SOURCE</x:v>
      </x:c>
      <x:c r="L63" s="153" t="str">
        <x:v>https://glavzabor.ru/wp-content/uploads/2020/07/lighting-posts-offer.pdf</x:v>
      </x:c>
    </x:row>
    <x:row r="64" ht="26.399999618530273" hidden="0" customHeight="1">
      <x:c r="A64" s="149" t="str">
        <x:v>Разовая</x:v>
      </x:c>
      <x:c r="B64" s="151" t="str">
        <x:v>L02</x:v>
      </x:c>
      <x:c r="C64" s="151" t="str">
        <x:v>Общая дорога</x:v>
      </x:c>
      <x:c r="D64" s="151" t="str">
        <x:v>Дорожное освещение</x:v>
      </x:c>
      <x:c r="E64" s="151" t="str">
        <x:v>Фундамент/закладная для опоры 6 м</x:v>
      </x:c>
      <x:c r="F64" s="151" t="str">
        <x:v>Освещение</x:v>
      </x:c>
      <x:c r="G64" s="151" t="str">
        <x:v>шт.</x:v>
      </x:c>
      <x:c r="H64" s="150" t="n">
        <x:v>7550</x:v>
      </x:c>
      <x:c r="I64" s="151" t="str">
        <x:v>PUBLIC PRICE</x:v>
      </x:c>
      <x:c r="J64" s="151" t="str">
        <x:v>ГлавЗабор</x:v>
      </x:c>
      <x:c r="K64" s="151" t="str">
        <x:v>SOURCE</x:v>
      </x:c>
      <x:c r="L64" s="153" t="str">
        <x:v>https://glavzabor.ru/wp-content/uploads/2020/07/lighting-posts-offer.pdf</x:v>
      </x:c>
    </x:row>
    <x:row r="65" ht="26.399999618530273" hidden="0" customHeight="1">
      <x:c r="A65" s="149" t="str">
        <x:v>Разовая</x:v>
      </x:c>
      <x:c r="B65" s="151" t="str">
        <x:v>L03</x:v>
      </x:c>
      <x:c r="C65" s="151" t="str">
        <x:v>Общая дорога</x:v>
      </x:c>
      <x:c r="D65" s="151" t="str">
        <x:v>Дорожное освещение</x:v>
      </x:c>
      <x:c r="E65" s="151" t="str">
        <x:v>Кронштейн двухрожковый</x:v>
      </x:c>
      <x:c r="F65" s="151" t="str">
        <x:v>Освещение</x:v>
      </x:c>
      <x:c r="G65" s="151" t="str">
        <x:v>шт.</x:v>
      </x:c>
      <x:c r="H65" s="150" t="n">
        <x:v>7610</x:v>
      </x:c>
      <x:c r="I65" s="151" t="str">
        <x:v>PUBLIC PRICE</x:v>
      </x:c>
      <x:c r="J65" s="151" t="str">
        <x:v>ГлавЗабор</x:v>
      </x:c>
      <x:c r="K65" s="151" t="str">
        <x:v>SOURCE</x:v>
      </x:c>
      <x:c r="L65" s="153" t="str">
        <x:v>https://glavzabor.ru/wp-content/uploads/2020/07/lighting-posts-offer.pdf</x:v>
      </x:c>
    </x:row>
    <x:row r="66" ht="39.599998474121094" hidden="0" customHeight="1">
      <x:c r="A66" s="149" t="str">
        <x:v>Разовая</x:v>
      </x:c>
      <x:c r="B66" s="151" t="str">
        <x:v>L04</x:v>
      </x:c>
      <x:c r="C66" s="151" t="str">
        <x:v>Общая дорога</x:v>
      </x:c>
      <x:c r="D66" s="151" t="str">
        <x:v>Дорожное освещение</x:v>
      </x:c>
      <x:c r="E66" s="151" t="str">
        <x:v>LED-прожектор 100 Вт IP65</x:v>
      </x:c>
      <x:c r="F66" s="151" t="str">
        <x:v>Освещение</x:v>
      </x:c>
      <x:c r="G66" s="151" t="str">
        <x:v>шт.</x:v>
      </x:c>
      <x:c r="H66" s="150" t="n">
        <x:v>1154</x:v>
      </x:c>
      <x:c r="I66" s="151" t="str">
        <x:v>RETAIL SNAPSHOT</x:v>
      </x:c>
      <x:c r="J66" s="151" t="str">
        <x:v>Лемана ПРО</x:v>
      </x:c>
      <x:c r="K66" s="151" t="str">
        <x:v>PRODUCT CARD</x:v>
      </x:c>
      <x:c r="L66" s="153" t="str">
        <x:v>https://ufa.lemanapro.ru/product/prozhektor-svetodiodnyy-ulichnyy-inspire-100-vt-6500-k-ip65-holodnyy-belyy-svet-84804049/</x:v>
      </x:c>
    </x:row>
    <x:row r="67" ht="26.399999618530273" hidden="0" customHeight="1">
      <x:c r="A67" s="149" t="str">
        <x:v>Разовая</x:v>
      </x:c>
      <x:c r="B67" s="151" t="str">
        <x:v>L05</x:v>
      </x:c>
      <x:c r="C67" s="151" t="str">
        <x:v>Общая дорога</x:v>
      </x:c>
      <x:c r="D67" s="151" t="str">
        <x:v>Дорожное освещение</x:v>
      </x:c>
      <x:c r="E67" s="151" t="str">
        <x:v>Кабель, труба, щит, автоматика, земляные работы</x:v>
      </x:c>
      <x:c r="F67" s="151" t="str">
        <x:v>Освещение</x:v>
      </x:c>
      <x:c r="G67" s="151" t="str">
        <x:v>пакет</x:v>
      </x:c>
      <x:c r="H67" s="150" t="n">
        <x:v>580000</x:v>
      </x:c>
      <x:c r="I67" s="151" t="str">
        <x:v>RFQ REQUIRED</x:v>
      </x:c>
      <x:c r="J67" s="151" t="str">
        <x:v>Коммерческое предложение</x:v>
      </x:c>
      <x:c r="K67" s="151" t="str">
        <x:v>RFQ</x:v>
      </x:c>
      <x:c r="L67" s="153" t="str">
        <x:v>#procurement</x:v>
      </x:c>
    </x:row>
    <x:row r="68" ht="26.399999618530273" hidden="0" customHeight="1">
      <x:c r="A68" s="149" t="str">
        <x:v>Разовая</x:v>
      </x:c>
      <x:c r="B68" s="151" t="str">
        <x:v>L06</x:v>
      </x:c>
      <x:c r="C68" s="151" t="str">
        <x:v>Общая дорога</x:v>
      </x:c>
      <x:c r="D68" s="151" t="str">
        <x:v>Дорожное освещение</x:v>
      </x:c>
      <x:c r="E68" s="151" t="str">
        <x:v>Монтаж и пусконаладка дорожного освещения</x:v>
      </x:c>
      <x:c r="F68" s="151" t="str">
        <x:v>Освещение</x:v>
      </x:c>
      <x:c r="G68" s="151" t="str">
        <x:v>пакет</x:v>
      </x:c>
      <x:c r="H68" s="150" t="n">
        <x:v>420000</x:v>
      </x:c>
      <x:c r="I68" s="151" t="str">
        <x:v>RFQ REQUIRED</x:v>
      </x:c>
      <x:c r="J68" s="151" t="str">
        <x:v>Коммерческое предложение</x:v>
      </x:c>
      <x:c r="K68" s="151" t="str">
        <x:v>RFQ</x:v>
      </x:c>
      <x:c r="L68" s="153" t="str">
        <x:v>#procurement</x:v>
      </x:c>
    </x:row>
    <x:row r="69" ht="26.399999618530273" hidden="0" customHeight="1">
      <x:c r="A69" s="149" t="str">
        <x:v>Разовая</x:v>
      </x:c>
      <x:c r="B69" s="151" t="str">
        <x:v>W01</x:v>
      </x:c>
      <x:c r="C69" s="151" t="str">
        <x:v>Прачечная</x:v>
      </x:c>
      <x:c r="D69" s="151" t="str">
        <x:v>Прачечная, склад и клининг</x:v>
      </x:c>
      <x:c r="E69" s="151" t="str">
        <x:v>Профессиональная стиральная машина 10–12 кг</x:v>
      </x:c>
      <x:c r="F69" s="151" t="str">
        <x:v>Оборудование</x:v>
      </x:c>
      <x:c r="G69" s="151" t="str">
        <x:v>шт.</x:v>
      </x:c>
      <x:c r="H69" s="150" t="n">
        <x:v>265000</x:v>
      </x:c>
      <x:c r="I69" s="151" t="str">
        <x:v>RFQ REQUIRED</x:v>
      </x:c>
      <x:c r="J69" s="151" t="str">
        <x:v>Коммерческое предложение</x:v>
      </x:c>
      <x:c r="K69" s="151" t="str">
        <x:v>RFQ</x:v>
      </x:c>
      <x:c r="L69" s="153" t="str">
        <x:v>#procurement</x:v>
      </x:c>
    </x:row>
    <x:row r="70" ht="26.399999618530273" hidden="0" customHeight="1">
      <x:c r="A70" s="149" t="str">
        <x:v>Разовая</x:v>
      </x:c>
      <x:c r="B70" s="151" t="str">
        <x:v>W02</x:v>
      </x:c>
      <x:c r="C70" s="151" t="str">
        <x:v>Прачечная</x:v>
      </x:c>
      <x:c r="D70" s="151" t="str">
        <x:v>Прачечная, склад и клининг</x:v>
      </x:c>
      <x:c r="E70" s="151" t="str">
        <x:v>Профессиональная сушильная машина 10–12 кг</x:v>
      </x:c>
      <x:c r="F70" s="151" t="str">
        <x:v>Оборудование</x:v>
      </x:c>
      <x:c r="G70" s="151" t="str">
        <x:v>шт.</x:v>
      </x:c>
      <x:c r="H70" s="150" t="n">
        <x:v>245000</x:v>
      </x:c>
      <x:c r="I70" s="151" t="str">
        <x:v>RFQ REQUIRED</x:v>
      </x:c>
      <x:c r="J70" s="151" t="str">
        <x:v>Коммерческое предложение</x:v>
      </x:c>
      <x:c r="K70" s="151" t="str">
        <x:v>RFQ</x:v>
      </x:c>
      <x:c r="L70" s="153" t="str">
        <x:v>#procurement</x:v>
      </x:c>
    </x:row>
    <x:row r="71" ht="26.399999618530273" hidden="0" customHeight="1">
      <x:c r="A71" s="149" t="str">
        <x:v>Разовая</x:v>
      </x:c>
      <x:c r="B71" s="151" t="str">
        <x:v>W05</x:v>
      </x:c>
      <x:c r="C71" s="151" t="str">
        <x:v>Клининг</x:v>
      </x:c>
      <x:c r="D71" s="151" t="str">
        <x:v>Прачечная, склад и клининг</x:v>
      </x:c>
      <x:c r="E71" s="151" t="str">
        <x:v>Пылесосы профессиональные сухой/влажный</x:v>
      </x:c>
      <x:c r="F71" s="151" t="str">
        <x:v>Оборудование</x:v>
      </x:c>
      <x:c r="G71" s="151" t="str">
        <x:v>шт.</x:v>
      </x:c>
      <x:c r="H71" s="150" t="n">
        <x:v>65000</x:v>
      </x:c>
      <x:c r="I71" s="151" t="str">
        <x:v>BUDGETARY ALLOWANCE</x:v>
      </x:c>
      <x:c r="J71" s="151" t="str">
        <x:v>Коммерческое предложение</x:v>
      </x:c>
      <x:c r="K71" s="151" t="str">
        <x:v>RFQ</x:v>
      </x:c>
      <x:c r="L71" s="153" t="str">
        <x:v>#procurement</x:v>
      </x:c>
    </x:row>
    <x:row r="72" ht="26.399999618530273" hidden="0" customHeight="1">
      <x:c r="A72" s="149" t="str">
        <x:v>Разовая</x:v>
      </x:c>
      <x:c r="B72" s="151" t="str">
        <x:v>W06</x:v>
      </x:c>
      <x:c r="C72" s="151" t="str">
        <x:v>Клининг</x:v>
      </x:c>
      <x:c r="D72" s="151" t="str">
        <x:v>Прачечная, склад и клининг</x:v>
      </x:c>
      <x:c r="E72" s="151" t="str">
        <x:v>Парогенератор и экстрактор для мягкой мебели</x:v>
      </x:c>
      <x:c r="F72" s="151" t="str">
        <x:v>Оборудование</x:v>
      </x:c>
      <x:c r="G72" s="151" t="str">
        <x:v>компл.</x:v>
      </x:c>
      <x:c r="H72" s="150" t="n">
        <x:v>165000</x:v>
      </x:c>
      <x:c r="I72" s="151" t="str">
        <x:v>BUDGETARY ALLOWANCE</x:v>
      </x:c>
      <x:c r="J72" s="151" t="str">
        <x:v>Коммерческое предложение</x:v>
      </x:c>
      <x:c r="K72" s="151" t="str">
        <x:v>RFQ</x:v>
      </x:c>
      <x:c r="L72" s="153" t="str">
        <x:v>#procurement</x:v>
      </x:c>
    </x:row>
    <x:row r="73" ht="26.399999618530273" hidden="0" customHeight="1">
      <x:c r="A73" s="149" t="str">
        <x:v>Разовая</x:v>
      </x:c>
      <x:c r="B73" s="151" t="str">
        <x:v>I01</x:v>
      </x:c>
      <x:c r="C73" s="151" t="str">
        <x:v>Логистика закупки</x:v>
      </x:c>
      <x:c r="D73" s="151" t="str">
        <x:v>Логистика</x:v>
      </x:c>
      <x:c r="E73" s="151" t="str">
        <x:v>Доставка, подъём, сборка FF&amp;E/OS&amp;E</x:v>
      </x:c>
      <x:c r="F73" s="151" t="str">
        <x:v>Услуги</x:v>
      </x:c>
      <x:c r="G73" s="151" t="str">
        <x:v>дом</x:v>
      </x:c>
      <x:c r="H73" s="150" t="n">
        <x:v>95000</x:v>
      </x:c>
      <x:c r="I73" s="151" t="str">
        <x:v>RFQ REQUIRED</x:v>
      </x:c>
      <x:c r="J73" s="151" t="str">
        <x:v>Коммерческое предложение</x:v>
      </x:c>
      <x:c r="K73" s="151" t="str">
        <x:v>RFQ</x:v>
      </x:c>
      <x:c r="L73" s="153" t="str">
        <x:v>#procurement</x:v>
      </x:c>
    </x:row>
    <x:row r="74" ht="26.399999618530273" hidden="0" customHeight="1">
      <x:c r="A74" s="149" t="str">
        <x:v>Разовая</x:v>
      </x:c>
      <x:c r="B74" s="151" t="str">
        <x:v>R01A</x:v>
      </x:c>
      <x:c r="C74" s="151" t="str">
        <x:v>Ресепшн</x:v>
      </x:c>
      <x:c r="D74" s="151" t="str">
        <x:v>Ресепшн</x:v>
      </x:c>
      <x:c r="E74" s="151" t="str">
        <x:v>Стойка ресепшн по проекту</x:v>
      </x:c>
      <x:c r="F74" s="151" t="str">
        <x:v>Мебель</x:v>
      </x:c>
      <x:c r="G74" s="151" t="str">
        <x:v>компл.</x:v>
      </x:c>
      <x:c r="H74" s="150" t="n">
        <x:v>180000</x:v>
      </x:c>
      <x:c r="I74" s="151" t="str">
        <x:v>RFQ REQUIRED</x:v>
      </x:c>
      <x:c r="J74" s="151" t="str">
        <x:v>Коммерческое предложение</x:v>
      </x:c>
      <x:c r="K74" s="151" t="str">
        <x:v>RFQ</x:v>
      </x:c>
      <x:c r="L74" s="153" t="str">
        <x:v>#procurement</x:v>
      </x:c>
    </x:row>
    <x:row r="75" ht="26.399999618530273" hidden="0" customHeight="1">
      <x:c r="A75" s="149" t="str">
        <x:v>Разовая</x:v>
      </x:c>
      <x:c r="B75" s="151" t="str">
        <x:v>R01B</x:v>
      </x:c>
      <x:c r="C75" s="151" t="str">
        <x:v>Ресепшн</x:v>
      </x:c>
      <x:c r="D75" s="151" t="str">
        <x:v>Ресепшн</x:v>
      </x:c>
      <x:c r="E75" s="151" t="str">
        <x:v>Рабочий стол администратора</x:v>
      </x:c>
      <x:c r="F75" s="151" t="str">
        <x:v>Мебель</x:v>
      </x:c>
      <x:c r="G75" s="151" t="str">
        <x:v>шт.</x:v>
      </x:c>
      <x:c r="H75" s="150" t="n">
        <x:v>30000</x:v>
      </x:c>
      <x:c r="I75" s="151" t="str">
        <x:v>BUDGETARY ALLOWANCE</x:v>
      </x:c>
      <x:c r="J75" s="151" t="str">
        <x:v>Коммерческое предложение</x:v>
      </x:c>
      <x:c r="K75" s="151" t="str">
        <x:v>RFQ</x:v>
      </x:c>
      <x:c r="L75" s="153" t="str">
        <x:v>#procurement</x:v>
      </x:c>
    </x:row>
    <x:row r="76" ht="39.599998474121094" hidden="0" customHeight="1">
      <x:c r="A76" s="149" t="str">
        <x:v>Разовая</x:v>
      </x:c>
      <x:c r="B76" s="151" t="str">
        <x:v>R01C</x:v>
      </x:c>
      <x:c r="C76" s="151" t="str">
        <x:v>Ресепшн</x:v>
      </x:c>
      <x:c r="D76" s="151" t="str">
        <x:v>Ресепшн</x:v>
      </x:c>
      <x:c r="E76" s="151" t="str">
        <x:v>Эргономичное рабочее кресло</x:v>
      </x:c>
      <x:c r="F76" s="151" t="str">
        <x:v>Мебель</x:v>
      </x:c>
      <x:c r="G76" s="151" t="str">
        <x:v>шт.</x:v>
      </x:c>
      <x:c r="H76" s="150" t="n">
        <x:v>12000</x:v>
      </x:c>
      <x:c r="I76" s="151" t="str">
        <x:v>BUDGETARY ALLOWANCE</x:v>
      </x:c>
      <x:c r="J76" s="151" t="str">
        <x:v>Ozon</x:v>
      </x:c>
      <x:c r="K76" s="151" t="str">
        <x:v>SEARCH / VERIFY</x:v>
      </x:c>
      <x:c r="L76" s="153" t="str">
        <x:v>https://www.ozon.ru/search/?text=%D0%BC%D0%BE%D0%BD%D0%BE%D0%B1%D0%BB%D0%BE%D0%BA%20%D0%B4%D0%BB%D1%8F%20%D0%BE%D1%84%D0%B8%D1%81%D0%B0</x:v>
      </x:c>
    </x:row>
    <x:row r="77" ht="26.399999618530273" hidden="0" customHeight="1">
      <x:c r="A77" s="149" t="str">
        <x:v>Разовая</x:v>
      </x:c>
      <x:c r="B77" s="151" t="str">
        <x:v>R01D</x:v>
      </x:c>
      <x:c r="C77" s="151" t="str">
        <x:v>Ресепшн</x:v>
      </x:c>
      <x:c r="D77" s="151" t="str">
        <x:v>Ресепшн</x:v>
      </x:c>
      <x:c r="E77" s="151" t="str">
        <x:v>Гостевая lounge-зона и журнальный стол</x:v>
      </x:c>
      <x:c r="F77" s="151" t="str">
        <x:v>Мебель</x:v>
      </x:c>
      <x:c r="G77" s="151" t="str">
        <x:v>компл.</x:v>
      </x:c>
      <x:c r="H77" s="150" t="n">
        <x:v>70000</x:v>
      </x:c>
      <x:c r="I77" s="151" t="str">
        <x:v>BUDGETARY ALLOWANCE</x:v>
      </x:c>
      <x:c r="J77" s="151" t="str">
        <x:v>Коммерческое предложение</x:v>
      </x:c>
      <x:c r="K77" s="151" t="str">
        <x:v>RFQ</x:v>
      </x:c>
      <x:c r="L77" s="153" t="str">
        <x:v>#procurement</x:v>
      </x:c>
    </x:row>
    <x:row r="78" ht="39.599998474121094" hidden="0" customHeight="1">
      <x:c r="A78" s="149" t="str">
        <x:v>Разовая</x:v>
      </x:c>
      <x:c r="B78" s="151" t="str">
        <x:v>R02A</x:v>
      </x:c>
      <x:c r="C78" s="151" t="str">
        <x:v>Ресепшн</x:v>
      </x:c>
      <x:c r="D78" s="151" t="str">
        <x:v>Ресепшн</x:v>
      </x:c>
      <x:c r="E78" s="151" t="str">
        <x:v>Моноблок администратора</x:v>
      </x:c>
      <x:c r="F78" s="151" t="str">
        <x:v>IT</x:v>
      </x:c>
      <x:c r="G78" s="151" t="str">
        <x:v>шт.</x:v>
      </x:c>
      <x:c r="H78" s="150" t="n">
        <x:v>60000</x:v>
      </x:c>
      <x:c r="I78" s="151" t="str">
        <x:v>BUDGETARY ALLOWANCE</x:v>
      </x:c>
      <x:c r="J78" s="151" t="str">
        <x:v>Ozon</x:v>
      </x:c>
      <x:c r="K78" s="151" t="str">
        <x:v>SEARCH / VERIFY</x:v>
      </x:c>
      <x:c r="L78" s="153" t="str">
        <x:v>https://www.ozon.ru/search/?text=%D0%BC%D0%BE%D0%BD%D0%BE%D0%B1%D0%BB%D0%BE%D0%BA%20%D0%B4%D0%BB%D1%8F%20%D0%BE%D1%84%D0%B8%D1%81%D0%B0</x:v>
      </x:c>
    </x:row>
    <x:row r="79" ht="39.599998474121094" hidden="0" customHeight="1">
      <x:c r="A79" s="149" t="str">
        <x:v>Разовая</x:v>
      </x:c>
      <x:c r="B79" s="151" t="str">
        <x:v>R02B</x:v>
      </x:c>
      <x:c r="C79" s="151" t="str">
        <x:v>Ресепшн</x:v>
      </x:c>
      <x:c r="D79" s="151" t="str">
        <x:v>Ресепшн</x:v>
      </x:c>
      <x:c r="E79" s="151" t="str">
        <x:v>МФУ Pantum BM2300W</x:v>
      </x:c>
      <x:c r="F79" s="151" t="str">
        <x:v>IT</x:v>
      </x:c>
      <x:c r="G79" s="151" t="str">
        <x:v>шт.</x:v>
      </x:c>
      <x:c r="H79" s="150" t="n">
        <x:v>18259</x:v>
      </x:c>
      <x:c r="I79" s="151" t="str">
        <x:v>RETAIL SNAPSHOT</x:v>
      </x:c>
      <x:c r="J79" s="151" t="str">
        <x:v>Ozon</x:v>
      </x:c>
      <x:c r="K79" s="151" t="str">
        <x:v>PRODUCT CARD</x:v>
      </x:c>
      <x:c r="L79" s="153" t="str">
        <x:v>https://www.ozon.ru/product/mfu-lazernyy-s-wifi-pantum-bm2300w-wi-fi-bluetooth-usb-2-0-printer-kopir-skaner-1758863880/</x:v>
      </x:c>
    </x:row>
    <x:row r="80" ht="26.399999618530273" hidden="0" customHeight="1">
      <x:c r="A80" s="149" t="str">
        <x:v>Разовая</x:v>
      </x:c>
      <x:c r="B80" s="151" t="str">
        <x:v>R02C</x:v>
      </x:c>
      <x:c r="C80" s="151" t="str">
        <x:v>Ресепшн</x:v>
      </x:c>
      <x:c r="D80" s="151" t="str">
        <x:v>Ресепшн</x:v>
      </x:c>
      <x:c r="E80" s="151" t="str">
        <x:v>POS-комплект, ККТ и сканер</x:v>
      </x:c>
      <x:c r="F80" s="151" t="str">
        <x:v>IT</x:v>
      </x:c>
      <x:c r="G80" s="151" t="str">
        <x:v>компл.</x:v>
      </x:c>
      <x:c r="H80" s="150" t="n">
        <x:v>45000</x:v>
      </x:c>
      <x:c r="I80" s="151" t="str">
        <x:v>BUDGETARY ALLOWANCE</x:v>
      </x:c>
      <x:c r="J80" s="151" t="str">
        <x:v>Ozon</x:v>
      </x:c>
      <x:c r="K80" s="151" t="str">
        <x:v>SEARCH / VERIFY</x:v>
      </x:c>
      <x:c r="L80" s="153" t="str">
        <x:v>https://www.ozon.ru/search/?text=POS%20%D0%BA%D0%BE%D0%BC%D0%BF%D0%BB%D0%B5%D0%BA%D1%82</x:v>
      </x:c>
    </x:row>
    <x:row r="81" ht="26.399999618530273" hidden="0" customHeight="1">
      <x:c r="A81" s="149" t="str">
        <x:v>Разовая</x:v>
      </x:c>
      <x:c r="B81" s="151" t="str">
        <x:v>R02D</x:v>
      </x:c>
      <x:c r="C81" s="151" t="str">
        <x:v>Ресепшн</x:v>
      </x:c>
      <x:c r="D81" s="151" t="str">
        <x:v>Ресепшн</x:v>
      </x:c>
      <x:c r="E81" s="151" t="str">
        <x:v>Mesh Wi-Fi, IP-телефон и резервный роутер</x:v>
      </x:c>
      <x:c r="F81" s="151" t="str">
        <x:v>IT</x:v>
      </x:c>
      <x:c r="G81" s="151" t="str">
        <x:v>компл.</x:v>
      </x:c>
      <x:c r="H81" s="150" t="n">
        <x:v>35000</x:v>
      </x:c>
      <x:c r="I81" s="151" t="str">
        <x:v>BUDGETARY ALLOWANCE</x:v>
      </x:c>
      <x:c r="J81" s="151" t="str">
        <x:v>Ozon</x:v>
      </x:c>
      <x:c r="K81" s="151" t="str">
        <x:v>SEARCH / VERIFY</x:v>
      </x:c>
      <x:c r="L81" s="153" t="str">
        <x:v>https://www.ozon.ru/search/?text=mesh%20wifi%20%D0%BA%D0%BE%D0%BC%D0%BF%D0%BB%D0%B5%D0%BA%D1%82</x:v>
      </x:c>
    </x:row>
    <x:row r="82" ht="26.399999618530273" hidden="0" customHeight="1">
      <x:c r="A82" s="149" t="str">
        <x:v>Разовая</x:v>
      </x:c>
      <x:c r="B82" s="151" t="str">
        <x:v>R03A</x:v>
      </x:c>
      <x:c r="C82" s="151" t="str">
        <x:v>Ресепшн</x:v>
      </x:c>
      <x:c r="D82" s="151" t="str">
        <x:v>Ресепшн</x:v>
      </x:c>
      <x:c r="E82" s="151" t="str">
        <x:v>Ключница с кодовым замком</x:v>
      </x:c>
      <x:c r="F82" s="151" t="str">
        <x:v>Хранение</x:v>
      </x:c>
      <x:c r="G82" s="151" t="str">
        <x:v>шт.</x:v>
      </x:c>
      <x:c r="H82" s="150" t="n">
        <x:v>8000</x:v>
      </x:c>
      <x:c r="I82" s="151" t="str">
        <x:v>RETAIL SNAPSHOT</x:v>
      </x:c>
      <x:c r="J82" s="151" t="str">
        <x:v>Ozon</x:v>
      </x:c>
      <x:c r="K82" s="151" t="str">
        <x:v>PRODUCT CARD</x:v>
      </x:c>
      <x:c r="L82" s="153" t="str">
        <x:v>https://www.ozon.ru/product/klyuchnitsa-nastennaya-seyf-dlya-klyuchey-s-kodovym-zamkom-1319390150/</x:v>
      </x:c>
    </x:row>
    <x:row r="83" ht="26.399999618530273" hidden="0" customHeight="1">
      <x:c r="A83" s="149" t="str">
        <x:v>Разовая</x:v>
      </x:c>
      <x:c r="B83" s="151" t="str">
        <x:v>R03B</x:v>
      </x:c>
      <x:c r="C83" s="151" t="str">
        <x:v>Ресепшн</x:v>
      </x:c>
      <x:c r="D83" s="151" t="str">
        <x:v>Ресепшн</x:v>
      </x:c>
      <x:c r="E83" s="151" t="str">
        <x:v>Сейф Cactus CS-SF-T25</x:v>
      </x:c>
      <x:c r="F83" s="151" t="str">
        <x:v>Хранение</x:v>
      </x:c>
      <x:c r="G83" s="151" t="str">
        <x:v>шт.</x:v>
      </x:c>
      <x:c r="H83" s="150" t="n">
        <x:v>12471</x:v>
      </x:c>
      <x:c r="I83" s="151" t="str">
        <x:v>RETAIL SNAPSHOT</x:v>
      </x:c>
      <x:c r="J83" s="151" t="str">
        <x:v>Ozon</x:v>
      </x:c>
      <x:c r="K83" s="151" t="str">
        <x:v>CATEGORY SNAPSHOT</x:v>
      </x:c>
      <x:c r="L83" s="153" t="str">
        <x:v>https://www.ozon.ru/category/seyfy-15158/</x:v>
      </x:c>
    </x:row>
    <x:row r="84" ht="26.399999618530273" hidden="0" customHeight="1">
      <x:c r="A84" s="149" t="str">
        <x:v>Разовая</x:v>
      </x:c>
      <x:c r="B84" s="151" t="str">
        <x:v>R03C</x:v>
      </x:c>
      <x:c r="C84" s="151" t="str">
        <x:v>Ресепшн</x:v>
      </x:c>
      <x:c r="D84" s="151" t="str">
        <x:v>Ресепшн</x:v>
      </x:c>
      <x:c r="E84" s="151" t="str">
        <x:v>Шкаф для документов, огнестойкий</x:v>
      </x:c>
      <x:c r="F84" s="151" t="str">
        <x:v>Хранение</x:v>
      </x:c>
      <x:c r="G84" s="151" t="str">
        <x:v>шт.</x:v>
      </x:c>
      <x:c r="H84" s="150" t="n">
        <x:v>25000</x:v>
      </x:c>
      <x:c r="I84" s="151" t="str">
        <x:v>BUDGETARY ALLOWANCE</x:v>
      </x:c>
      <x:c r="J84" s="151" t="str">
        <x:v>Ozon</x:v>
      </x:c>
      <x:c r="K84" s="151" t="str">
        <x:v>CATEGORY SNAPSHOT</x:v>
      </x:c>
      <x:c r="L84" s="153" t="str">
        <x:v>https://www.ozon.ru/category/seyfy-15158/</x:v>
      </x:c>
    </x:row>
    <x:row r="85" ht="26.399999618530273" hidden="0" customHeight="1">
      <x:c r="A85" s="149" t="str">
        <x:v>Разовая</x:v>
      </x:c>
      <x:c r="B85" s="151" t="str">
        <x:v>R03D</x:v>
      </x:c>
      <x:c r="C85" s="151" t="str">
        <x:v>Ресепшн</x:v>
      </x:c>
      <x:c r="D85" s="151" t="str">
        <x:v>Ресепшн</x:v>
      </x:c>
      <x:c r="E85" s="151" t="str">
        <x:v>Локеры персонала</x:v>
      </x:c>
      <x:c r="F85" s="151" t="str">
        <x:v>Хранение</x:v>
      </x:c>
      <x:c r="G85" s="151" t="str">
        <x:v>компл.</x:v>
      </x:c>
      <x:c r="H85" s="150" t="n">
        <x:v>60000</x:v>
      </x:c>
      <x:c r="I85" s="151" t="str">
        <x:v>RFQ REQUIRED</x:v>
      </x:c>
      <x:c r="J85" s="151" t="str">
        <x:v>Коммерческое предложение</x:v>
      </x:c>
      <x:c r="K85" s="151" t="str">
        <x:v>RFQ</x:v>
      </x:c>
      <x:c r="L85" s="153" t="str">
        <x:v>#procurement</x:v>
      </x:c>
    </x:row>
    <x:row r="86" ht="26.399999618530273" hidden="0" customHeight="1">
      <x:c r="A86" s="149" t="str">
        <x:v>Разовая</x:v>
      </x:c>
      <x:c r="B86" s="151" t="str">
        <x:v>R04A</x:v>
      </x:c>
      <x:c r="C86" s="151" t="str">
        <x:v>Ресепшн</x:v>
      </x:c>
      <x:c r="D86" s="151" t="str">
        <x:v>Ресепшн</x:v>
      </x:c>
      <x:c r="E86" s="151" t="str">
        <x:v>Зонты, зарядные станции, аптечка, навигация</x:v>
      </x:c>
      <x:c r="F86" s="151" t="str">
        <x:v>Guest service</x:v>
      </x:c>
      <x:c r="G86" s="151" t="str">
        <x:v>компл.</x:v>
      </x:c>
      <x:c r="H86" s="150" t="n">
        <x:v>95000</x:v>
      </x:c>
      <x:c r="I86" s="151" t="str">
        <x:v>BUDGETARY ALLOWANCE</x:v>
      </x:c>
      <x:c r="J86" s="151" t="str">
        <x:v>Ozon</x:v>
      </x:c>
      <x:c r="K86" s="151" t="str">
        <x:v>SEARCH / VERIFY</x:v>
      </x:c>
      <x:c r="L86" s="153" t="str">
        <x:v>https://www.ozon.ru/search/?text=mesh%20wifi%20%D0%BA%D0%BE%D0%BC%D0%BF%D0%BB%D0%B5%D0%BA%D1%82</x:v>
      </x:c>
    </x:row>
    <x:row r="87" ht="26.399999618530273" hidden="0" customHeight="1">
      <x:c r="A87" s="149" t="str">
        <x:v>Разовая</x:v>
      </x:c>
      <x:c r="B87" s="151" t="str">
        <x:v>W03A</x:v>
      </x:c>
      <x:c r="C87" s="151" t="str">
        <x:v>Прачечная</x:v>
      </x:c>
      <x:c r="D87" s="151" t="str">
        <x:v>Прачечная, склад и клининг</x:v>
      </x:c>
      <x:c r="E87" s="151" t="str">
        <x:v>Промышленный гладильный стол</x:v>
      </x:c>
      <x:c r="F87" s="151" t="str">
        <x:v>Финиш белья</x:v>
      </x:c>
      <x:c r="G87" s="151" t="str">
        <x:v>шт.</x:v>
      </x:c>
      <x:c r="H87" s="150" t="n">
        <x:v>65000</x:v>
      </x:c>
      <x:c r="I87" s="151" t="str">
        <x:v>RFQ REQUIRED</x:v>
      </x:c>
      <x:c r="J87" s="151" t="str">
        <x:v>Коммерческое предложение</x:v>
      </x:c>
      <x:c r="K87" s="151" t="str">
        <x:v>RFQ</x:v>
      </x:c>
      <x:c r="L87" s="153" t="str">
        <x:v>#procurement</x:v>
      </x:c>
    </x:row>
    <x:row r="88" ht="26.399999618530273" hidden="0" customHeight="1">
      <x:c r="A88" s="149" t="str">
        <x:v>Разовая</x:v>
      </x:c>
      <x:c r="B88" s="151" t="str">
        <x:v>W03B</x:v>
      </x:c>
      <x:c r="C88" s="151" t="str">
        <x:v>Прачечная</x:v>
      </x:c>
      <x:c r="D88" s="151" t="str">
        <x:v>Прачечная, склад и клининг</x:v>
      </x:c>
      <x:c r="E88" s="151" t="str">
        <x:v>Парогенератор профессиональный</x:v>
      </x:c>
      <x:c r="F88" s="151" t="str">
        <x:v>Финиш белья</x:v>
      </x:c>
      <x:c r="G88" s="151" t="str">
        <x:v>шт.</x:v>
      </x:c>
      <x:c r="H88" s="150" t="n">
        <x:v>95000</x:v>
      </x:c>
      <x:c r="I88" s="151" t="str">
        <x:v>RFQ REQUIRED</x:v>
      </x:c>
      <x:c r="J88" s="151" t="str">
        <x:v>Коммерческое предложение</x:v>
      </x:c>
      <x:c r="K88" s="151" t="str">
        <x:v>RFQ</x:v>
      </x:c>
      <x:c r="L88" s="153" t="str">
        <x:v>#procurement</x:v>
      </x:c>
    </x:row>
    <x:row r="89" ht="39.599998474121094" hidden="0" customHeight="1">
      <x:c r="A89" s="149" t="str">
        <x:v>Разовая</x:v>
      </x:c>
      <x:c r="B89" s="151" t="str">
        <x:v>W03C</x:v>
      </x:c>
      <x:c r="C89" s="151" t="str">
        <x:v>Прачечная</x:v>
      </x:c>
      <x:c r="D89" s="151" t="str">
        <x:v>Прачечная, склад и клининг</x:v>
      </x:c>
      <x:c r="E89" s="151" t="str">
        <x:v>Швейная машина для ремонта текстиля</x:v>
      </x:c>
      <x:c r="F89" s="151" t="str">
        <x:v>Финиш белья</x:v>
      </x:c>
      <x:c r="G89" s="151" t="str">
        <x:v>шт.</x:v>
      </x:c>
      <x:c r="H89" s="150" t="n">
        <x:v>28000</x:v>
      </x:c>
      <x:c r="I89" s="151" t="str">
        <x:v>BUDGETARY ALLOWANCE</x:v>
      </x:c>
      <x:c r="J89" s="151" t="str">
        <x:v>Ozon</x:v>
      </x:c>
      <x:c r="K89" s="151" t="str">
        <x:v>SEARCH / VERIFY</x:v>
      </x:c>
      <x:c r="L89" s="153" t="str">
        <x:v>https://www.ozon.ru/search/?text=%D0%BC%D0%BE%D0%BD%D0%BE%D0%B1%D0%BB%D0%BE%D0%BA%20%D0%B4%D0%BB%D1%8F%20%D0%BE%D1%84%D0%B8%D1%81%D0%B0</x:v>
      </x:c>
    </x:row>
    <x:row r="90" ht="26.399999618530273" hidden="0" customHeight="1">
      <x:c r="A90" s="149" t="str">
        <x:v>Разовая</x:v>
      </x:c>
      <x:c r="B90" s="151" t="str">
        <x:v>W03D</x:v>
      </x:c>
      <x:c r="C90" s="151" t="str">
        <x:v>Прачечная</x:v>
      </x:c>
      <x:c r="D90" s="151" t="str">
        <x:v>Прачечная, склад и клининг</x:v>
      </x:c>
      <x:c r="E90" s="151" t="str">
        <x:v>Умягчение воды и дозатор химии</x:v>
      </x:c>
      <x:c r="F90" s="151" t="str">
        <x:v>Инженерия</x:v>
      </x:c>
      <x:c r="G90" s="151" t="str">
        <x:v>компл.</x:v>
      </x:c>
      <x:c r="H90" s="150" t="n">
        <x:v>145000</x:v>
      </x:c>
      <x:c r="I90" s="151" t="str">
        <x:v>RFQ REQUIRED</x:v>
      </x:c>
      <x:c r="J90" s="151" t="str">
        <x:v>Коммерческое предложение</x:v>
      </x:c>
      <x:c r="K90" s="151" t="str">
        <x:v>RFQ</x:v>
      </x:c>
      <x:c r="L90" s="153" t="str">
        <x:v>#procurement</x:v>
      </x:c>
    </x:row>
    <x:row r="91" ht="26.399999618530273" hidden="0" customHeight="1">
      <x:c r="A91" s="149" t="str">
        <x:v>Разовая</x:v>
      </x:c>
      <x:c r="B91" s="151" t="str">
        <x:v>W03E</x:v>
      </x:c>
      <x:c r="C91" s="151" t="str">
        <x:v>Прачечная</x:v>
      </x:c>
      <x:c r="D91" s="151" t="str">
        <x:v>Прачечная, склад и клининг</x:v>
      </x:c>
      <x:c r="E91" s="151" t="str">
        <x:v>Вентиляция и влагозащищённая электрика</x:v>
      </x:c>
      <x:c r="F91" s="151" t="str">
        <x:v>Инженерия</x:v>
      </x:c>
      <x:c r="G91" s="151" t="str">
        <x:v>компл.</x:v>
      </x:c>
      <x:c r="H91" s="150" t="n">
        <x:v>180000</x:v>
      </x:c>
      <x:c r="I91" s="151" t="str">
        <x:v>RFQ REQUIRED</x:v>
      </x:c>
      <x:c r="J91" s="151" t="str">
        <x:v>Коммерческое предложение</x:v>
      </x:c>
      <x:c r="K91" s="151" t="str">
        <x:v>RFQ</x:v>
      </x:c>
      <x:c r="L91" s="153" t="str">
        <x:v>#procurement</x:v>
      </x:c>
    </x:row>
    <x:row r="92" ht="26.399999618530273" hidden="0" customHeight="1">
      <x:c r="A92" s="149" t="str">
        <x:v>Разовая</x:v>
      </x:c>
      <x:c r="B92" s="151" t="str">
        <x:v>W03F</x:v>
      </x:c>
      <x:c r="C92" s="151" t="str">
        <x:v>Прачечная</x:v>
      </x:c>
      <x:c r="D92" s="151" t="str">
        <x:v>Прачечная, склад и клининг</x:v>
      </x:c>
      <x:c r="E92" s="151" t="str">
        <x:v>Нержавеющий стол, мойка и весы</x:v>
      </x:c>
      <x:c r="F92" s="151" t="str">
        <x:v>Рабочая зона</x:v>
      </x:c>
      <x:c r="G92" s="151" t="str">
        <x:v>компл.</x:v>
      </x:c>
      <x:c r="H92" s="150" t="n">
        <x:v>85000</x:v>
      </x:c>
      <x:c r="I92" s="151" t="str">
        <x:v>RFQ REQUIRED</x:v>
      </x:c>
      <x:c r="J92" s="151" t="str">
        <x:v>Коммерческое предложение</x:v>
      </x:c>
      <x:c r="K92" s="151" t="str">
        <x:v>RFQ</x:v>
      </x:c>
      <x:c r="L92" s="153" t="str">
        <x:v>#procurement</x:v>
      </x:c>
    </x:row>
    <x:row r="93" ht="26.399999618530273" hidden="0" customHeight="1">
      <x:c r="A93" s="149" t="str">
        <x:v>Разовая</x:v>
      </x:c>
      <x:c r="B93" s="151" t="str">
        <x:v>W04A</x:v>
      </x:c>
      <x:c r="C93" s="151" t="str">
        <x:v>Склад</x:v>
      </x:c>
      <x:c r="D93" s="151" t="str">
        <x:v>Прачечная, склад и клининг</x:v>
      </x:c>
      <x:c r="E93" s="151" t="str">
        <x:v>Металлический стеллаж</x:v>
      </x:c>
      <x:c r="F93" s="151" t="str">
        <x:v>Хранение</x:v>
      </x:c>
      <x:c r="G93" s="151" t="str">
        <x:v>шт.</x:v>
      </x:c>
      <x:c r="H93" s="150" t="n">
        <x:v>12000</x:v>
      </x:c>
      <x:c r="I93" s="151" t="str">
        <x:v>BUDGETARY ALLOWANCE</x:v>
      </x:c>
      <x:c r="J93" s="151" t="str">
        <x:v>Лемана ПРО</x:v>
      </x:c>
      <x:c r="K93" s="151" t="str">
        <x:v>SOURCE</x:v>
      </x:c>
      <x:c r="L93" s="153" t="str">
        <x:v>https://lemanapro.ru/</x:v>
      </x:c>
    </x:row>
    <x:row r="94" ht="66" hidden="0" customHeight="1">
      <x:c r="A94" s="149" t="str">
        <x:v>Разовая</x:v>
      </x:c>
      <x:c r="B94" s="151" t="str">
        <x:v>W04B</x:v>
      </x:c>
      <x:c r="C94" s="151" t="str">
        <x:v>Склад</x:v>
      </x:c>
      <x:c r="D94" s="151" t="str">
        <x:v>Прачечная, склад и клининг</x:v>
      </x:c>
      <x:c r="E94" s="151" t="str">
        <x:v>Контейнер 60 л с крышкой</x:v>
      </x:c>
      <x:c r="F94" s="151" t="str">
        <x:v>Хранение</x:v>
      </x:c>
      <x:c r="G94" s="151" t="str">
        <x:v>шт.</x:v>
      </x:c>
      <x:c r="H94" s="150" t="n">
        <x:v>1500</x:v>
      </x:c>
      <x:c r="I94" s="151" t="str">
        <x:v>BUDGETARY ALLOWANCE</x:v>
      </x:c>
      <x:c r="J94" s="151" t="str">
        <x:v>Wildberries</x:v>
      </x:c>
      <x:c r="K94" s="151" t="str">
        <x:v>SEARCH / VERIFY</x:v>
      </x:c>
      <x:c r="L94" s="153" t="str">
        <x:v>https://www.wildberries.ru/catalog/0/search.aspx?search=%D0%BA%D0%BE%D0%BD%D1%82%D0%B5%D0%B9%D0%BD%D0%B5%D1%80%20%D0%B4%D0%BB%D1%8F%20%D1%85%D1%80%D0%B0%D0%BD%D0%B5%D0%BD%D0%B8%D1%8F%2060%20%D0%BB</x:v>
      </x:c>
    </x:row>
    <x:row r="95" ht="26.399999618530273" hidden="0" customHeight="1">
      <x:c r="A95" s="149" t="str">
        <x:v>Разовая</x:v>
      </x:c>
      <x:c r="B95" s="151" t="str">
        <x:v>W04C</x:v>
      </x:c>
      <x:c r="C95" s="151" t="str">
        <x:v>Склад</x:v>
      </x:c>
      <x:c r="D95" s="151" t="str">
        <x:v>Прачечная, склад и клининг</x:v>
      </x:c>
      <x:c r="E95" s="151" t="str">
        <x:v>Принтер этикеток и стартовый запас</x:v>
      </x:c>
      <x:c r="F95" s="151" t="str">
        <x:v>Учёт</x:v>
      </x:c>
      <x:c r="G95" s="151" t="str">
        <x:v>компл.</x:v>
      </x:c>
      <x:c r="H95" s="150" t="n">
        <x:v>15000</x:v>
      </x:c>
      <x:c r="I95" s="151" t="str">
        <x:v>BUDGETARY ALLOWANCE</x:v>
      </x:c>
      <x:c r="J95" s="151" t="str">
        <x:v>Ozon</x:v>
      </x:c>
      <x:c r="K95" s="151" t="str">
        <x:v>SEARCH / VERIFY</x:v>
      </x:c>
      <x:c r="L95" s="153" t="str">
        <x:v>https://www.ozon.ru/search/?text=POS%20%D0%BA%D0%BE%D0%BC%D0%BF%D0%BB%D0%B5%D0%BA%D1%82</x:v>
      </x:c>
    </x:row>
    <x:row r="96" ht="26.399999618530273" hidden="0" customHeight="1">
      <x:c r="A96" s="149" t="str">
        <x:v>Разовая</x:v>
      </x:c>
      <x:c r="B96" s="151" t="str">
        <x:v>W04D</x:v>
      </x:c>
      <x:c r="C96" s="151" t="str">
        <x:v>Склад</x:v>
      </x:c>
      <x:c r="D96" s="151" t="str">
        <x:v>Прачечная, склад и клининг</x:v>
      </x:c>
      <x:c r="E96" s="151" t="str">
        <x:v>Складная грузовая тележка</x:v>
      </x:c>
      <x:c r="F96" s="151" t="str">
        <x:v>Логистика</x:v>
      </x:c>
      <x:c r="G96" s="151" t="str">
        <x:v>шт.</x:v>
      </x:c>
      <x:c r="H96" s="150" t="n">
        <x:v>4232</x:v>
      </x:c>
      <x:c r="I96" s="151" t="str">
        <x:v>RETAIL SNAPSHOT</x:v>
      </x:c>
      <x:c r="J96" s="151" t="str">
        <x:v>Ozon</x:v>
      </x:c>
      <x:c r="K96" s="151" t="str">
        <x:v>PRODUCT CARD</x:v>
      </x:c>
      <x:c r="L96" s="153" t="str">
        <x:v>https://www.ozon.ru/product/telezhka-skladnaya-1585644260/</x:v>
      </x:c>
    </x:row>
    <x:row r="97" ht="26.399999618530273" hidden="0" customHeight="1">
      <x:c r="A97" s="149" t="str">
        <x:v>Разовая</x:v>
      </x:c>
      <x:c r="B97" s="151" t="str">
        <x:v>W07A</x:v>
      </x:c>
      <x:c r="C97" s="151" t="str">
        <x:v>Клининг</x:v>
      </x:c>
      <x:c r="D97" s="151" t="str">
        <x:v>Прачечная, склад и клининг</x:v>
      </x:c>
      <x:c r="E97" s="151" t="str">
        <x:v>Тележка горничной с мешком и полками</x:v>
      </x:c>
      <x:c r="F97" s="151" t="str">
        <x:v>Инвентарь</x:v>
      </x:c>
      <x:c r="G97" s="151" t="str">
        <x:v>шт.</x:v>
      </x:c>
      <x:c r="H97" s="150" t="n">
        <x:v>42000</x:v>
      </x:c>
      <x:c r="I97" s="151" t="str">
        <x:v>BUDGETARY ALLOWANCE</x:v>
      </x:c>
      <x:c r="J97" s="151" t="str">
        <x:v>Коммерческое предложение</x:v>
      </x:c>
      <x:c r="K97" s="151" t="str">
        <x:v>RFQ</x:v>
      </x:c>
      <x:c r="L97" s="153" t="str">
        <x:v>#procurement</x:v>
      </x:c>
    </x:row>
    <x:row r="98" ht="66" hidden="0" customHeight="1">
      <x:c r="A98" s="149" t="str">
        <x:v>Разовая</x:v>
      </x:c>
      <x:c r="B98" s="151" t="str">
        <x:v>W08A</x:v>
      </x:c>
      <x:c r="C98" s="151" t="str">
        <x:v>Клининг</x:v>
      </x:c>
      <x:c r="D98" s="151" t="str">
        <x:v>Прачечная, склад и клининг</x:v>
      </x:c>
      <x:c r="E98" s="151" t="str">
        <x:v>Мопы, вёдра, скребки, щётки, стремянки</x:v>
      </x:c>
      <x:c r="F98" s="151" t="str">
        <x:v>Инвентарь</x:v>
      </x:c>
      <x:c r="G98" s="151" t="str">
        <x:v>компл.</x:v>
      </x:c>
      <x:c r="H98" s="150" t="n">
        <x:v>65000</x:v>
      </x:c>
      <x:c r="I98" s="151" t="str">
        <x:v>BUDGETARY ALLOWANCE</x:v>
      </x:c>
      <x:c r="J98" s="151" t="str">
        <x:v>Wildberries</x:v>
      </x:c>
      <x:c r="K98" s="151" t="str">
        <x:v>SEARCH / VERIFY</x:v>
      </x:c>
      <x:c r="L98" s="153" t="str">
        <x:v>https://www.wildberries.ru/catalog/0/search.aspx?search=%D1%81%D0%B0%D0%BB%D1%84%D0%B5%D1%82%D0%BA%D0%B8%20%D0%B8%D0%B7%20%D0%BC%D0%B8%D0%BA%D1%80%D0%BE%D1%84%D0%B8%D0%B1%D1%80%D1%8B%2020%20%D1%88%D1%82</x:v>
      </x:c>
    </x:row>
    <x:row r="99" ht="26.399999618530273" hidden="0" customHeight="1">
      <x:c r="A99" s="149" t="str">
        <x:v>Разовая</x:v>
      </x:c>
      <x:c r="B99" s="151" t="str">
        <x:v>W08B</x:v>
      </x:c>
      <x:c r="C99" s="151" t="str">
        <x:v>Клининг</x:v>
      </x:c>
      <x:c r="D99" s="151" t="str">
        <x:v>Прачечная, склад и клининг</x:v>
      </x:c>
      <x:c r="E99" s="151" t="str">
        <x:v>PPE, знаки мокрого пола и шкаф химии</x:v>
      </x:c>
      <x:c r="F99" s="151" t="str">
        <x:v>Безопасность</x:v>
      </x:c>
      <x:c r="G99" s="151" t="str">
        <x:v>компл.</x:v>
      </x:c>
      <x:c r="H99" s="150" t="n">
        <x:v>45000</x:v>
      </x:c>
      <x:c r="I99" s="151" t="str">
        <x:v>BUDGETARY ALLOWANCE</x:v>
      </x:c>
      <x:c r="J99" s="151" t="str">
        <x:v>Коммерческое предложение</x:v>
      </x:c>
      <x:c r="K99" s="151" t="str">
        <x:v>RFQ</x:v>
      </x:c>
      <x:c r="L99" s="153" t="str">
        <x:v>#procurement</x:v>
      </x:c>
    </x:row>
    <x:row r="100" ht="26.399999618530273" hidden="0" customHeight="1">
      <x:c r="A100" s="149" t="str">
        <x:v>Пополняемая</x:v>
      </x:c>
      <x:c r="B100" s="151" t="str">
        <x:v>A01</x:v>
      </x:c>
      <x:c r="C100" s="151" t="str">
        <x:v>Дом · санузел</x:v>
      </x:c>
      <x:c r="D100" s="151" t="str">
        <x:v>Amenities</x:v>
      </x:c>
      <x:c r="E100" s="151" t="str">
        <x:v>Зубной набор</x:v>
      </x:c>
      <x:c r="F100" s="151" t="str">
        <x:v>Amenities</x:v>
      </x:c>
      <x:c r="G100" s="151" t="str">
        <x:v>на гостя/бронь</x:v>
      </x:c>
      <x:c r="H100" s="150" t="n">
        <x:v>45</x:v>
      </x:c>
      <x:c r="I100" s="151" t="str">
        <x:v>BUDGETARY ALLOWANCE</x:v>
      </x:c>
      <x:c r="J100" s="151" t="str">
        <x:v>Гостиничная косметика</x:v>
      </x:c>
      <x:c r="K100" s="151" t="str">
        <x:v>SOURCE</x:v>
      </x:c>
      <x:c r="L100" s="153" t="str">
        <x:v>https://dom-hlopka.ru/</x:v>
      </x:c>
    </x:row>
    <x:row r="101" ht="26.399999618530273" hidden="0" customHeight="1">
      <x:c r="A101" s="149" t="str">
        <x:v>Пополняемая</x:v>
      </x:c>
      <x:c r="B101" s="151" t="str">
        <x:v>A02</x:v>
      </x:c>
      <x:c r="C101" s="151" t="str">
        <x:v>Дом · санузел</x:v>
      </x:c>
      <x:c r="D101" s="151" t="str">
        <x:v>Amenities</x:v>
      </x:c>
      <x:c r="E101" s="151" t="str">
        <x:v>Шампунь 30 мл</x:v>
      </x:c>
      <x:c r="F101" s="151" t="str">
        <x:v>Amenities</x:v>
      </x:c>
      <x:c r="G101" s="151" t="str">
        <x:v>на гостя/бронь</x:v>
      </x:c>
      <x:c r="H101" s="150" t="n">
        <x:v>35</x:v>
      </x:c>
      <x:c r="I101" s="151" t="str">
        <x:v>BUDGETARY ALLOWANCE</x:v>
      </x:c>
      <x:c r="J101" s="151" t="str">
        <x:v>Гостиничная косметика</x:v>
      </x:c>
      <x:c r="K101" s="151" t="str">
        <x:v>SOURCE</x:v>
      </x:c>
      <x:c r="L101" s="153" t="str">
        <x:v>https://dom-hlopka.ru/</x:v>
      </x:c>
    </x:row>
    <x:row r="102" ht="26.399999618530273" hidden="0" customHeight="1">
      <x:c r="A102" s="149" t="str">
        <x:v>Пополняемая</x:v>
      </x:c>
      <x:c r="B102" s="151" t="str">
        <x:v>A03</x:v>
      </x:c>
      <x:c r="C102" s="151" t="str">
        <x:v>Дом · санузел</x:v>
      </x:c>
      <x:c r="D102" s="151" t="str">
        <x:v>Amenities</x:v>
      </x:c>
      <x:c r="E102" s="151" t="str">
        <x:v>Гель для душа 30 мл</x:v>
      </x:c>
      <x:c r="F102" s="151" t="str">
        <x:v>Amenities</x:v>
      </x:c>
      <x:c r="G102" s="151" t="str">
        <x:v>на гостя/бронь</x:v>
      </x:c>
      <x:c r="H102" s="150" t="n">
        <x:v>35</x:v>
      </x:c>
      <x:c r="I102" s="151" t="str">
        <x:v>BUDGETARY ALLOWANCE</x:v>
      </x:c>
      <x:c r="J102" s="151" t="str">
        <x:v>Гостиничная косметика</x:v>
      </x:c>
      <x:c r="K102" s="151" t="str">
        <x:v>SOURCE</x:v>
      </x:c>
      <x:c r="L102" s="153" t="str">
        <x:v>https://dom-hlopka.ru/</x:v>
      </x:c>
    </x:row>
    <x:row r="103" ht="26.399999618530273" hidden="0" customHeight="1">
      <x:c r="A103" s="149" t="str">
        <x:v>Пополняемая</x:v>
      </x:c>
      <x:c r="B103" s="151" t="str">
        <x:v>A04</x:v>
      </x:c>
      <x:c r="C103" s="151" t="str">
        <x:v>Дом · санузел</x:v>
      </x:c>
      <x:c r="D103" s="151" t="str">
        <x:v>Amenities</x:v>
      </x:c>
      <x:c r="E103" s="151" t="str">
        <x:v>Мыло 20 г</x:v>
      </x:c>
      <x:c r="F103" s="151" t="str">
        <x:v>Amenities</x:v>
      </x:c>
      <x:c r="G103" s="151" t="str">
        <x:v>на гостя/бронь</x:v>
      </x:c>
      <x:c r="H103" s="150" t="n">
        <x:v>25</x:v>
      </x:c>
      <x:c r="I103" s="151" t="str">
        <x:v>BUDGETARY ALLOWANCE</x:v>
      </x:c>
      <x:c r="J103" s="151" t="str">
        <x:v>Гостиничная косметика</x:v>
      </x:c>
      <x:c r="K103" s="151" t="str">
        <x:v>SOURCE</x:v>
      </x:c>
      <x:c r="L103" s="153" t="str">
        <x:v>https://dom-hlopka.ru/</x:v>
      </x:c>
    </x:row>
    <x:row r="104" ht="26.399999618530273" hidden="0" customHeight="1">
      <x:c r="A104" s="149" t="str">
        <x:v>Пополняемая</x:v>
      </x:c>
      <x:c r="B104" s="151" t="str">
        <x:v>A05</x:v>
      </x:c>
      <x:c r="C104" s="151" t="str">
        <x:v>Дом · санузел</x:v>
      </x:c>
      <x:c r="D104" s="151" t="str">
        <x:v>Amenities</x:v>
      </x:c>
      <x:c r="E104" s="151" t="str">
        <x:v>Косметический набор</x:v>
      </x:c>
      <x:c r="F104" s="151" t="str">
        <x:v>Amenities</x:v>
      </x:c>
      <x:c r="G104" s="151" t="str">
        <x:v>на гостя/бронь</x:v>
      </x:c>
      <x:c r="H104" s="150" t="n">
        <x:v>22</x:v>
      </x:c>
      <x:c r="I104" s="151" t="str">
        <x:v>BUDGETARY ALLOWANCE</x:v>
      </x:c>
      <x:c r="J104" s="151" t="str">
        <x:v>Гостиничная косметика</x:v>
      </x:c>
      <x:c r="K104" s="151" t="str">
        <x:v>SOURCE</x:v>
      </x:c>
      <x:c r="L104" s="153" t="str">
        <x:v>https://dom-hlopka.ru/</x:v>
      </x:c>
    </x:row>
    <x:row r="105" ht="26.399999618530273" hidden="0" customHeight="1">
      <x:c r="A105" s="149" t="str">
        <x:v>Пополняемая</x:v>
      </x:c>
      <x:c r="B105" s="151" t="str">
        <x:v>A06</x:v>
      </x:c>
      <x:c r="C105" s="151" t="str">
        <x:v>Дом · санузел</x:v>
      </x:c>
      <x:c r="D105" s="151" t="str">
        <x:v>Amenities</x:v>
      </x:c>
      <x:c r="E105" s="151" t="str">
        <x:v>Шапочка для душа</x:v>
      </x:c>
      <x:c r="F105" s="151" t="str">
        <x:v>Amenities</x:v>
      </x:c>
      <x:c r="G105" s="151" t="str">
        <x:v>на гостя/бронь</x:v>
      </x:c>
      <x:c r="H105" s="150" t="n">
        <x:v>18</x:v>
      </x:c>
      <x:c r="I105" s="151" t="str">
        <x:v>BUDGETARY ALLOWANCE</x:v>
      </x:c>
      <x:c r="J105" s="151" t="str">
        <x:v>Гостиничная косметика</x:v>
      </x:c>
      <x:c r="K105" s="151" t="str">
        <x:v>SOURCE</x:v>
      </x:c>
      <x:c r="L105" s="153" t="str">
        <x:v>https://dom-hlopka.ru/</x:v>
      </x:c>
    </x:row>
    <x:row r="106" ht="26.399999618530273" hidden="0" customHeight="1">
      <x:c r="A106" s="149" t="str">
        <x:v>Пополняемая</x:v>
      </x:c>
      <x:c r="B106" s="151" t="str">
        <x:v>A07</x:v>
      </x:c>
      <x:c r="C106" s="151" t="str">
        <x:v>Дом · санузел</x:v>
      </x:c>
      <x:c r="D106" s="151" t="str">
        <x:v>Amenities</x:v>
      </x:c>
      <x:c r="E106" s="151" t="str">
        <x:v>Набор для бритья, provision on request</x:v>
      </x:c>
      <x:c r="F106" s="151" t="str">
        <x:v>Amenities</x:v>
      </x:c>
      <x:c r="G106" s="151" t="str">
        <x:v>на гостя/бронь</x:v>
      </x:c>
      <x:c r="H106" s="150" t="n">
        <x:v>55</x:v>
      </x:c>
      <x:c r="I106" s="151" t="str">
        <x:v>BUDGETARY ALLOWANCE</x:v>
      </x:c>
      <x:c r="J106" s="151" t="str">
        <x:v>Гостиничная косметика</x:v>
      </x:c>
      <x:c r="K106" s="151" t="str">
        <x:v>SOURCE</x:v>
      </x:c>
      <x:c r="L106" s="153" t="str">
        <x:v>https://dom-hlopka.ru/</x:v>
      </x:c>
    </x:row>
    <x:row r="107" ht="15" hidden="0" customHeight="1">
      <x:c r="A107" s="149" t="str">
        <x:v>Пополняемая</x:v>
      </x:c>
      <x:c r="B107" s="151" t="str">
        <x:v>A08</x:v>
      </x:c>
      <x:c r="C107" s="151" t="str">
        <x:v>Дом · санузел</x:v>
      </x:c>
      <x:c r="D107" s="151" t="str">
        <x:v>Amenities</x:v>
      </x:c>
      <x:c r="E107" s="151" t="str">
        <x:v>Тапочки гостиничные</x:v>
      </x:c>
      <x:c r="F107" s="151" t="str">
        <x:v>Amenities</x:v>
      </x:c>
      <x:c r="G107" s="151" t="str">
        <x:v>на гостя/бронь</x:v>
      </x:c>
      <x:c r="H107" s="150" t="n">
        <x:v>50</x:v>
      </x:c>
      <x:c r="I107" s="151" t="str">
        <x:v>PUBLIC PRICE</x:v>
      </x:c>
      <x:c r="J107" s="151" t="str">
        <x:v>Дом Хлопка</x:v>
      </x:c>
      <x:c r="K107" s="151" t="str">
        <x:v>SOURCE</x:v>
      </x:c>
      <x:c r="L107" s="153" t="str">
        <x:v>https://dom-hlopka.ru/f/Price-list-tapochki.pdf</x:v>
      </x:c>
    </x:row>
    <x:row r="108" ht="26.399999618530273" hidden="0" customHeight="1">
      <x:c r="A108" s="149" t="str">
        <x:v>Пополняемая</x:v>
      </x:c>
      <x:c r="B108" s="151" t="str">
        <x:v>V01</x:v>
      </x:c>
      <x:c r="C108" s="151" t="str">
        <x:v>Дом · welcome</x:v>
      </x:c>
      <x:c r="D108" s="151" t="str">
        <x:v>Welcome-набор</x:v>
      </x:c>
      <x:c r="E108" s="151" t="str">
        <x:v>Вода 0,5 л</x:v>
      </x:c>
      <x:c r="F108" s="151" t="str">
        <x:v>Welcome</x:v>
      </x:c>
      <x:c r="G108" s="151" t="str">
        <x:v>бутылка/бронь</x:v>
      </x:c>
      <x:c r="H108" s="150" t="n">
        <x:v>45</x:v>
      </x:c>
      <x:c r="I108" s="151" t="str">
        <x:v>BUDGETARY ALLOWANCE</x:v>
      </x:c>
      <x:c r="J108" s="151" t="str">
        <x:v>Коммерческое предложение</x:v>
      </x:c>
      <x:c r="K108" s="151" t="str">
        <x:v>RFQ</x:v>
      </x:c>
      <x:c r="L108" s="153" t="str">
        <x:v>#procurement</x:v>
      </x:c>
    </x:row>
    <x:row r="109" ht="26.399999618530273" hidden="0" customHeight="1">
      <x:c r="A109" s="149" t="str">
        <x:v>Пополняемая</x:v>
      </x:c>
      <x:c r="B109" s="151" t="str">
        <x:v>V02</x:v>
      </x:c>
      <x:c r="C109" s="151" t="str">
        <x:v>Дом · welcome</x:v>
      </x:c>
      <x:c r="D109" s="151" t="str">
        <x:v>Welcome-набор</x:v>
      </x:c>
      <x:c r="E109" s="151" t="str">
        <x:v>Чай, кофе, сахар, сливки</x:v>
      </x:c>
      <x:c r="F109" s="151" t="str">
        <x:v>Welcome</x:v>
      </x:c>
      <x:c r="G109" s="151" t="str">
        <x:v>набор/бронь</x:v>
      </x:c>
      <x:c r="H109" s="150" t="n">
        <x:v>320</x:v>
      </x:c>
      <x:c r="I109" s="151" t="str">
        <x:v>BUDGETARY ALLOWANCE</x:v>
      </x:c>
      <x:c r="J109" s="151" t="str">
        <x:v>Коммерческое предложение</x:v>
      </x:c>
      <x:c r="K109" s="151" t="str">
        <x:v>RFQ</x:v>
      </x:c>
      <x:c r="L109" s="153" t="str">
        <x:v>#procurement</x:v>
      </x:c>
    </x:row>
    <x:row r="110" ht="26.399999618530273" hidden="0" customHeight="1">
      <x:c r="A110" s="149" t="str">
        <x:v>Пополняемая</x:v>
      </x:c>
      <x:c r="B110" s="151" t="str">
        <x:v>V03</x:v>
      </x:c>
      <x:c r="C110" s="151" t="str">
        <x:v>Дом · welcome</x:v>
      </x:c>
      <x:c r="D110" s="151" t="str">
        <x:v>Welcome-набор</x:v>
      </x:c>
      <x:c r="E110" s="151" t="str">
        <x:v>Локальный десерт / снеки</x:v>
      </x:c>
      <x:c r="F110" s="151" t="str">
        <x:v>Welcome</x:v>
      </x:c>
      <x:c r="G110" s="151" t="str">
        <x:v>набор/бронь</x:v>
      </x:c>
      <x:c r="H110" s="150" t="n">
        <x:v>450</x:v>
      </x:c>
      <x:c r="I110" s="151" t="str">
        <x:v>BUDGETARY ALLOWANCE</x:v>
      </x:c>
      <x:c r="J110" s="151" t="str">
        <x:v>Коммерческое предложение</x:v>
      </x:c>
      <x:c r="K110" s="151" t="str">
        <x:v>RFQ</x:v>
      </x:c>
      <x:c r="L110" s="153" t="str">
        <x:v>#procurement</x:v>
      </x:c>
    </x:row>
    <x:row r="111" ht="26.399999618530273" hidden="0" customHeight="1">
      <x:c r="A111" s="149" t="str">
        <x:v>Пополняемая</x:v>
      </x:c>
      <x:c r="B111" s="151" t="str">
        <x:v>V04</x:v>
      </x:c>
      <x:c r="C111" s="151" t="str">
        <x:v>Дом · welcome</x:v>
      </x:c>
      <x:c r="D111" s="151" t="str">
        <x:v>Welcome-набор</x:v>
      </x:c>
      <x:c r="E111" s="151" t="str">
        <x:v>Welcome-card, карта, QR-инструкция</x:v>
      </x:c>
      <x:c r="F111" s="151" t="str">
        <x:v>Welcome</x:v>
      </x:c>
      <x:c r="G111" s="151" t="str">
        <x:v>компл./бронь</x:v>
      </x:c>
      <x:c r="H111" s="150" t="n">
        <x:v>45</x:v>
      </x:c>
      <x:c r="I111" s="151" t="str">
        <x:v>BUDGETARY ALLOWANCE</x:v>
      </x:c>
      <x:c r="J111" s="151" t="str">
        <x:v>Коммерческое предложение</x:v>
      </x:c>
      <x:c r="K111" s="151" t="str">
        <x:v>RFQ</x:v>
      </x:c>
      <x:c r="L111" s="153" t="str">
        <x:v>#procurement</x:v>
      </x:c>
    </x:row>
    <x:row r="112" ht="26.399999618530273" hidden="0" customHeight="1">
      <x:c r="A112" s="149" t="str">
        <x:v>Пополняемая</x:v>
      </x:c>
      <x:c r="B112" s="151" t="str">
        <x:v>V05</x:v>
      </x:c>
      <x:c r="C112" s="151" t="str">
        <x:v>Дом · welcome</x:v>
      </x:c>
      <x:c r="D112" s="151" t="str">
        <x:v>Welcome-набор</x:v>
      </x:c>
      <x:c r="E112" s="151" t="str">
        <x:v>Капсулы кофе и чай дополнительный</x:v>
      </x:c>
      <x:c r="F112" s="151" t="str">
        <x:v>Welcome</x:v>
      </x:c>
      <x:c r="G112" s="151" t="str">
        <x:v>компл./бронь</x:v>
      </x:c>
      <x:c r="H112" s="150" t="n">
        <x:v>180</x:v>
      </x:c>
      <x:c r="I112" s="151" t="str">
        <x:v>BUDGETARY ALLOWANCE</x:v>
      </x:c>
      <x:c r="J112" s="151" t="str">
        <x:v>Коммерческое предложение</x:v>
      </x:c>
      <x:c r="K112" s="151" t="str">
        <x:v>RFQ</x:v>
      </x:c>
      <x:c r="L112" s="153" t="str">
        <x:v>#procurement</x:v>
      </x:c>
    </x:row>
    <x:row r="113" ht="26.399999618530273" hidden="0" customHeight="1">
      <x:c r="A113" s="149" t="str">
        <x:v>Пополняемая</x:v>
      </x:c>
      <x:c r="B113" s="151" t="str">
        <x:v>C01</x:v>
      </x:c>
      <x:c r="C113" s="151" t="str">
        <x:v>Клининг</x:v>
      </x:c>
      <x:c r="D113" s="151" t="str">
        <x:v>Клининг</x:v>
      </x:c>
      <x:c r="E113" s="151" t="str">
        <x:v>Средство для санузлов и удаления налёта</x:v>
      </x:c>
      <x:c r="F113" s="151" t="str">
        <x:v>Химия</x:v>
      </x:c>
      <x:c r="G113" s="151" t="str">
        <x:v>доля/оборот</x:v>
      </x:c>
      <x:c r="H113" s="150" t="n">
        <x:v>75</x:v>
      </x:c>
      <x:c r="I113" s="151" t="str">
        <x:v>BUDGETARY ALLOWANCE</x:v>
      </x:c>
      <x:c r="J113" s="151" t="str">
        <x:v>Pro-Brite</x:v>
      </x:c>
      <x:c r="K113" s="151" t="str">
        <x:v>SOURCE</x:v>
      </x:c>
      <x:c r="L113" s="153" t="str">
        <x:v>https://pro-brite.com/</x:v>
      </x:c>
    </x:row>
    <x:row r="114" ht="26.399999618530273" hidden="0" customHeight="1">
      <x:c r="A114" s="149" t="str">
        <x:v>Пополняемая</x:v>
      </x:c>
      <x:c r="B114" s="151" t="str">
        <x:v>C02</x:v>
      </x:c>
      <x:c r="C114" s="151" t="str">
        <x:v>Клининг</x:v>
      </x:c>
      <x:c r="D114" s="151" t="str">
        <x:v>Клининг</x:v>
      </x:c>
      <x:c r="E114" s="151" t="str">
        <x:v>Средство для пола и универсальный очиститель</x:v>
      </x:c>
      <x:c r="F114" s="151" t="str">
        <x:v>Химия</x:v>
      </x:c>
      <x:c r="G114" s="151" t="str">
        <x:v>доля/оборот</x:v>
      </x:c>
      <x:c r="H114" s="150" t="n">
        <x:v>65</x:v>
      </x:c>
      <x:c r="I114" s="151" t="str">
        <x:v>BUDGETARY ALLOWANCE</x:v>
      </x:c>
      <x:c r="J114" s="151" t="str">
        <x:v>Pro-Brite</x:v>
      </x:c>
      <x:c r="K114" s="151" t="str">
        <x:v>SOURCE</x:v>
      </x:c>
      <x:c r="L114" s="153" t="str">
        <x:v>https://pro-brite.com/</x:v>
      </x:c>
    </x:row>
    <x:row r="115" ht="26.399999618530273" hidden="0" customHeight="1">
      <x:c r="A115" s="149" t="str">
        <x:v>Пополняемая</x:v>
      </x:c>
      <x:c r="B115" s="151" t="str">
        <x:v>C03</x:v>
      </x:c>
      <x:c r="C115" s="151" t="str">
        <x:v>Клининг</x:v>
      </x:c>
      <x:c r="D115" s="151" t="str">
        <x:v>Клининг</x:v>
      </x:c>
      <x:c r="E115" s="151" t="str">
        <x:v>Стекло, зеркала, нержавеющая сталь</x:v>
      </x:c>
      <x:c r="F115" s="151" t="str">
        <x:v>Химия</x:v>
      </x:c>
      <x:c r="G115" s="151" t="str">
        <x:v>доля/оборот</x:v>
      </x:c>
      <x:c r="H115" s="150" t="n">
        <x:v>35</x:v>
      </x:c>
      <x:c r="I115" s="151" t="str">
        <x:v>BUDGETARY ALLOWANCE</x:v>
      </x:c>
      <x:c r="J115" s="151" t="str">
        <x:v>Pro-Brite</x:v>
      </x:c>
      <x:c r="K115" s="151" t="str">
        <x:v>SOURCE</x:v>
      </x:c>
      <x:c r="L115" s="153" t="str">
        <x:v>https://pro-brite.com/</x:v>
      </x:c>
    </x:row>
    <x:row r="116" ht="26.399999618530273" hidden="0" customHeight="1">
      <x:c r="A116" s="149" t="str">
        <x:v>Пополняемая</x:v>
      </x:c>
      <x:c r="B116" s="151" t="str">
        <x:v>C04</x:v>
      </x:c>
      <x:c r="C116" s="151" t="str">
        <x:v>Клининг</x:v>
      </x:c>
      <x:c r="D116" s="151" t="str">
        <x:v>Клининг</x:v>
      </x:c>
      <x:c r="E116" s="151" t="str">
        <x:v>Микрофибра, губки, перчатки, мешки</x:v>
      </x:c>
      <x:c r="F116" s="151" t="str">
        <x:v>Расходники</x:v>
      </x:c>
      <x:c r="G116" s="151" t="str">
        <x:v>доля/оборот</x:v>
      </x:c>
      <x:c r="H116" s="150" t="n">
        <x:v>95</x:v>
      </x:c>
      <x:c r="I116" s="151" t="str">
        <x:v>BUDGETARY ALLOWANCE</x:v>
      </x:c>
      <x:c r="J116" s="151" t="str">
        <x:v>Коммерческое предложение</x:v>
      </x:c>
      <x:c r="K116" s="151" t="str">
        <x:v>RFQ</x:v>
      </x:c>
      <x:c r="L116" s="153" t="str">
        <x:v>#procurement</x:v>
      </x:c>
    </x:row>
    <x:row r="117" ht="26.399999618530273" hidden="0" customHeight="1">
      <x:c r="A117" s="149" t="str">
        <x:v>Пополняемая</x:v>
      </x:c>
      <x:c r="B117" s="151" t="str">
        <x:v>C05</x:v>
      </x:c>
      <x:c r="C117" s="151" t="str">
        <x:v>Клининг</x:v>
      </x:c>
      <x:c r="D117" s="151" t="str">
        <x:v>Клининг</x:v>
      </x:c>
      <x:c r="E117" s="151" t="str">
        <x:v>Туалетная бумага, салфетки, бумажные полотенца</x:v>
      </x:c>
      <x:c r="F117" s="151" t="str">
        <x:v>Расходники</x:v>
      </x:c>
      <x:c r="G117" s="151" t="str">
        <x:v>доля/оборот</x:v>
      </x:c>
      <x:c r="H117" s="150" t="n">
        <x:v>120</x:v>
      </x:c>
      <x:c r="I117" s="151" t="str">
        <x:v>BUDGETARY ALLOWANCE</x:v>
      </x:c>
      <x:c r="J117" s="151" t="str">
        <x:v>Коммерческое предложение</x:v>
      </x:c>
      <x:c r="K117" s="151" t="str">
        <x:v>RFQ</x:v>
      </x:c>
      <x:c r="L117" s="153" t="str">
        <x:v>#procurement</x:v>
      </x:c>
    </x:row>
    <x:row r="118" ht="26.399999618530273" hidden="0" customHeight="1">
      <x:c r="A118" s="149" t="str">
        <x:v>Пополняемая</x:v>
      </x:c>
      <x:c r="B118" s="151" t="str">
        <x:v>C06</x:v>
      </x:c>
      <x:c r="C118" s="151" t="str">
        <x:v>Клининг</x:v>
      </x:c>
      <x:c r="D118" s="151" t="str">
        <x:v>Клининг</x:v>
      </x:c>
      <x:c r="E118" s="151" t="str">
        <x:v>Таблетки ПММ, соль, ополаскиватель, губка</x:v>
      </x:c>
      <x:c r="F118" s="151" t="str">
        <x:v>Кухня</x:v>
      </x:c>
      <x:c r="G118" s="151" t="str">
        <x:v>доля/оборот</x:v>
      </x:c>
      <x:c r="H118" s="150" t="n">
        <x:v>80</x:v>
      </x:c>
      <x:c r="I118" s="151" t="str">
        <x:v>BUDGETARY ALLOWANCE</x:v>
      </x:c>
      <x:c r="J118" s="151" t="str">
        <x:v>Коммерческое предложение</x:v>
      </x:c>
      <x:c r="K118" s="151" t="str">
        <x:v>RFQ</x:v>
      </x:c>
      <x:c r="L118" s="153" t="str">
        <x:v>#procurement</x:v>
      </x:c>
    </x:row>
    <x:row r="119" ht="26.399999618530273" hidden="0" customHeight="1">
      <x:c r="A119" s="149" t="str">
        <x:v>Пополняемая</x:v>
      </x:c>
      <x:c r="B119" s="151" t="str">
        <x:v>C07</x:v>
      </x:c>
      <x:c r="C119" s="151" t="str">
        <x:v>Прачечная</x:v>
      </x:c>
      <x:c r="D119" s="151" t="str">
        <x:v>Клининг</x:v>
      </x:c>
      <x:c r="E119" s="151" t="str">
        <x:v>Порошок/гель, отбеливатель, кондиционер</x:v>
      </x:c>
      <x:c r="F119" s="151" t="str">
        <x:v>Химия</x:v>
      </x:c>
      <x:c r="G119" s="151" t="str">
        <x:v>доля/оборот</x:v>
      </x:c>
      <x:c r="H119" s="150" t="n">
        <x:v>210</x:v>
      </x:c>
      <x:c r="I119" s="151" t="str">
        <x:v>BUDGETARY ALLOWANCE</x:v>
      </x:c>
      <x:c r="J119" s="151" t="str">
        <x:v>Pro-Brite</x:v>
      </x:c>
      <x:c r="K119" s="151" t="str">
        <x:v>SOURCE</x:v>
      </x:c>
      <x:c r="L119" s="153" t="str">
        <x:v>https://pro-brite.com/</x:v>
      </x:c>
    </x:row>
    <x:row r="120" ht="26.399999618530273" hidden="0" customHeight="1">
      <x:c r="A120" s="149" t="str">
        <x:v>Пополняемая</x:v>
      </x:c>
      <x:c r="B120" s="151" t="str">
        <x:v>S11</x:v>
      </x:c>
      <x:c r="C120" s="151" t="str">
        <x:v>Банный модуль</x:v>
      </x:c>
      <x:c r="D120" s="151" t="str">
        <x:v>Баня и чан</x:v>
      </x:c>
      <x:c r="E120" s="151" t="str">
        <x:v>Дрова и растопка</x:v>
      </x:c>
      <x:c r="F120" s="151" t="str">
        <x:v>Consumables</x:v>
      </x:c>
      <x:c r="G120" s="151" t="str">
        <x:v>SPA-сессия</x:v>
      </x:c>
      <x:c r="H120" s="150" t="n">
        <x:v>1200</x:v>
      </x:c>
      <x:c r="I120" s="151" t="str">
        <x:v>BUDGETARY ALLOWANCE</x:v>
      </x:c>
      <x:c r="J120" s="151" t="str">
        <x:v>Коммерческое предложение</x:v>
      </x:c>
      <x:c r="K120" s="151" t="str">
        <x:v>RFQ</x:v>
      </x:c>
      <x:c r="L120" s="153" t="str">
        <x:v>#procurement</x:v>
      </x:c>
    </x:row>
    <x:row r="121" ht="26.399999618530273" hidden="0" customHeight="1">
      <x:c r="A121" s="149" t="str">
        <x:v>Пополняемая</x:v>
      </x:c>
      <x:c r="B121" s="151" t="str">
        <x:v>S12</x:v>
      </x:c>
      <x:c r="C121" s="151" t="str">
        <x:v>Банный модуль</x:v>
      </x:c>
      <x:c r="D121" s="151" t="str">
        <x:v>Баня и чан</x:v>
      </x:c>
      <x:c r="E121" s="151" t="str">
        <x:v>Веник, аромазапарка, травы</x:v>
      </x:c>
      <x:c r="F121" s="151" t="str">
        <x:v>Consumables</x:v>
      </x:c>
      <x:c r="G121" s="151" t="str">
        <x:v>SPA-сессия</x:v>
      </x:c>
      <x:c r="H121" s="150" t="n">
        <x:v>650</x:v>
      </x:c>
      <x:c r="I121" s="151" t="str">
        <x:v>BUDGETARY ALLOWANCE</x:v>
      </x:c>
      <x:c r="J121" s="151" t="str">
        <x:v>Коммерческое предложение</x:v>
      </x:c>
      <x:c r="K121" s="151" t="str">
        <x:v>RFQ</x:v>
      </x:c>
      <x:c r="L121" s="153" t="str">
        <x:v>#procurement</x:v>
      </x:c>
    </x:row>
    <x:row r="122" ht="26.399999618530273" hidden="0" customHeight="1">
      <x:c r="A122" s="149" t="str">
        <x:v>Пополняемая</x:v>
      </x:c>
      <x:c r="B122" s="151" t="str">
        <x:v>S13</x:v>
      </x:c>
      <x:c r="C122" s="151" t="str">
        <x:v>Банный модуль</x:v>
      </x:c>
      <x:c r="D122" s="151" t="str">
        <x:v>Баня и чан</x:v>
      </x:c>
      <x:c r="E122" s="151" t="str">
        <x:v>Чайный набор к бане</x:v>
      </x:c>
      <x:c r="F122" s="151" t="str">
        <x:v>Consumables</x:v>
      </x:c>
      <x:c r="G122" s="151" t="str">
        <x:v>SPA-сессия</x:v>
      </x:c>
      <x:c r="H122" s="150" t="n">
        <x:v>350</x:v>
      </x:c>
      <x:c r="I122" s="151" t="str">
        <x:v>BUDGETARY ALLOWANCE</x:v>
      </x:c>
      <x:c r="J122" s="151" t="str">
        <x:v>Коммерческое предложение</x:v>
      </x:c>
      <x:c r="K122" s="151" t="str">
        <x:v>RFQ</x:v>
      </x:c>
      <x:c r="L122" s="153" t="str">
        <x:v>#procurement</x:v>
      </x:c>
    </x:row>
    <x:row r="123" ht="26.399999618530273" hidden="0" customHeight="1">
      <x:c r="A123" s="149" t="str">
        <x:v>Пополняемая</x:v>
      </x:c>
      <x:c r="B123" s="151" t="str">
        <x:v>S14</x:v>
      </x:c>
      <x:c r="C123" s="151" t="str">
        <x:v>Чан</x:v>
      </x:c>
      <x:c r="D123" s="151" t="str">
        <x:v>Баня и чан</x:v>
      </x:c>
      <x:c r="E123" s="151" t="str">
        <x:v>Дрова, розжиг, ароматическая добавка</x:v>
      </x:c>
      <x:c r="F123" s="151" t="str">
        <x:v>Consumables</x:v>
      </x:c>
      <x:c r="G123" s="151" t="str">
        <x:v>SPA-сессия</x:v>
      </x:c>
      <x:c r="H123" s="150" t="n">
        <x:v>1450</x:v>
      </x:c>
      <x:c r="I123" s="151" t="str">
        <x:v>BUDGETARY ALLOWANCE</x:v>
      </x:c>
      <x:c r="J123" s="151" t="str">
        <x:v>Коммерческое предложение</x:v>
      </x:c>
      <x:c r="K123" s="151" t="str">
        <x:v>RFQ</x:v>
      </x:c>
      <x:c r="L123" s="153" t="str">
        <x:v>#procurement</x:v>
      </x:c>
    </x:row>
    <x:row r="124" ht="26.399999618530273" hidden="0" customHeight="1">
      <x:c r="A124" s="149" t="str">
        <x:v>Пополняемая</x:v>
      </x:c>
      <x:c r="B124" s="151" t="str">
        <x:v>X01</x:v>
      </x:c>
      <x:c r="C124" s="151" t="str">
        <x:v>Прачечная</x:v>
      </x:c>
      <x:c r="D124" s="151" t="str">
        <x:v>Замена текстиля</x:v>
      </x:c>
      <x:c r="E124" s="151" t="str">
        <x:v>Замена 25% текстильного парка · Эконом</x:v>
      </x:c>
      <x:c r="F124" s="151" t="str">
        <x:v>Replacement</x:v>
      </x:c>
      <x:c r="G124" s="151" t="str">
        <x:v>дом/год</x:v>
      </x:c>
      <x:c r="H124" s="150" t="n">
        <x:v>20920</x:v>
      </x:c>
      <x:c r="I124" s="151" t="str">
        <x:v>BUDGETARY ALLOWANCE</x:v>
      </x:c>
      <x:c r="J124" s="151" t="str">
        <x:v>Дом Хлопка</x:v>
      </x:c>
      <x:c r="K124" s="151" t="str">
        <x:v>SOURCE</x:v>
      </x:c>
      <x:c r="L124" s="153" t="str">
        <x:v>https://dom-hlopka.ru/</x:v>
      </x:c>
    </x:row>
    <x:row r="125" ht="26.399999618530273" hidden="0" customHeight="1">
      <x:c r="A125" s="149" t="str">
        <x:v>Пополняемая</x:v>
      </x:c>
      <x:c r="B125" s="151" t="str">
        <x:v>X02</x:v>
      </x:c>
      <x:c r="C125" s="151" t="str">
        <x:v>Прачечная</x:v>
      </x:c>
      <x:c r="D125" s="151" t="str">
        <x:v>Замена текстиля</x:v>
      </x:c>
      <x:c r="E125" s="151" t="str">
        <x:v>Замена 25% текстильного парка · Стандарт</x:v>
      </x:c>
      <x:c r="F125" s="151" t="str">
        <x:v>Replacement</x:v>
      </x:c>
      <x:c r="G125" s="151" t="str">
        <x:v>дом/год</x:v>
      </x:c>
      <x:c r="H125" s="150" t="n">
        <x:v>35160</x:v>
      </x:c>
      <x:c r="I125" s="151" t="str">
        <x:v>BUDGETARY ALLOWANCE</x:v>
      </x:c>
      <x:c r="J125" s="151" t="str">
        <x:v>Дом Хлопка</x:v>
      </x:c>
      <x:c r="K125" s="151" t="str">
        <x:v>SOURCE</x:v>
      </x:c>
      <x:c r="L125" s="153" t="str">
        <x:v>https://dom-hlopka.ru/</x:v>
      </x:c>
    </x:row>
    <x:row r="126" ht="26.399999618530273" hidden="0" customHeight="1">
      <x:c r="A126" s="149" t="str">
        <x:v>Пополняемая</x:v>
      </x:c>
      <x:c r="B126" s="151" t="str">
        <x:v>X03</x:v>
      </x:c>
      <x:c r="C126" s="151" t="str">
        <x:v>Прачечная</x:v>
      </x:c>
      <x:c r="D126" s="151" t="str">
        <x:v>Замена текстиля</x:v>
      </x:c>
      <x:c r="E126" s="151" t="str">
        <x:v>Замена 25% текстильного парка · Люкс</x:v>
      </x:c>
      <x:c r="F126" s="151" t="str">
        <x:v>Replacement</x:v>
      </x:c>
      <x:c r="G126" s="151" t="str">
        <x:v>дом/год</x:v>
      </x:c>
      <x:c r="H126" s="150" t="n">
        <x:v>41455</x:v>
      </x:c>
      <x:c r="I126" s="151" t="str">
        <x:v>BUDGETARY ALLOWANCE</x:v>
      </x:c>
      <x:c r="J126" s="151" t="str">
        <x:v>Дом Хлопка</x:v>
      </x:c>
      <x:c r="K126" s="151" t="str">
        <x:v>SOURCE</x:v>
      </x:c>
      <x:c r="L126" s="153" t="str">
        <x:v>https://dom-hlopka.ru/</x:v>
      </x:c>
    </x:row>
    <x:row r="127" ht="26.399999618530273" hidden="0" customHeight="1">
      <x:c r="A127" s="149" t="str">
        <x:v>Пополняемая</x:v>
      </x:c>
      <x:c r="B127" s="151" t="str">
        <x:v>S15</x:v>
      </x:c>
      <x:c r="C127" s="151" t="str">
        <x:v>Чан</x:v>
      </x:c>
      <x:c r="D127" s="151" t="str">
        <x:v>Баня и чан</x:v>
      </x:c>
      <x:c r="E127" s="151" t="str">
        <x:v>Фруктовый микс, 1,5 кг</x:v>
      </x:c>
      <x:c r="F127" s="151" t="str">
        <x:v>Ритуал чана</x:v>
      </x:c>
      <x:c r="G127" s="151" t="str">
        <x:v>на сеанс</x:v>
      </x:c>
      <x:c r="H127" s="150" t="n">
        <x:v>650</x:v>
      </x:c>
      <x:c r="I127" s="151" t="str">
        <x:v>BUDGETARY ALLOWANCE</x:v>
      </x:c>
      <x:c r="J127" s="151" t="str">
        <x:v>Коммерческое предложение</x:v>
      </x:c>
      <x:c r="K127" s="151" t="str">
        <x:v>RFQ</x:v>
      </x:c>
      <x:c r="L127" s="153" t="str">
        <x:v>#procurement</x:v>
      </x:c>
    </x:row>
    <x:row r="128" ht="26.399999618530273" hidden="0" customHeight="1">
      <x:c r="A128" s="149" t="str">
        <x:v>Пополняемая</x:v>
      </x:c>
      <x:c r="B128" s="151" t="str">
        <x:v>S16</x:v>
      </x:c>
      <x:c r="C128" s="151" t="str">
        <x:v>Чан</x:v>
      </x:c>
      <x:c r="D128" s="151" t="str">
        <x:v>Баня и чан</x:v>
      </x:c>
      <x:c r="E128" s="151" t="str">
        <x:v>Свежие еловые ветви</x:v>
      </x:c>
      <x:c r="F128" s="151" t="str">
        <x:v>Ритуал чана</x:v>
      </x:c>
      <x:c r="G128" s="151" t="str">
        <x:v>пучок / сеанс</x:v>
      </x:c>
      <x:c r="H128" s="150" t="n">
        <x:v>500</x:v>
      </x:c>
      <x:c r="I128" s="151" t="str">
        <x:v>RFQ REQUIRED</x:v>
      </x:c>
      <x:c r="J128" s="151" t="str">
        <x:v>Коммерческое предложение</x:v>
      </x:c>
      <x:c r="K128" s="151" t="str">
        <x:v>RFQ</x:v>
      </x:c>
      <x:c r="L128" s="153" t="str">
        <x:v>#procurement</x:v>
      </x:c>
    </x:row>
    <x:row r="129" ht="52.79999923706055" hidden="0" customHeight="1">
      <x:c r="A129" s="155" t="str">
        <x:v>Пополняемая</x:v>
      </x:c>
      <x:c r="B129" s="158" t="str">
        <x:v>S17</x:v>
      </x:c>
      <x:c r="C129" s="158" t="str">
        <x:v>Чан</x:v>
      </x:c>
      <x:c r="D129" s="158" t="str">
        <x:v>Баня и чан</x:v>
      </x:c>
      <x:c r="E129" s="158" t="str">
        <x:v>Аромамасло пихты / хвои</x:v>
      </x:c>
      <x:c r="F129" s="158" t="str">
        <x:v>Ритуал чана</x:v>
      </x:c>
      <x:c r="G129" s="158" t="str">
        <x:v>доля флакона / сеанс</x:v>
      </x:c>
      <x:c r="H129" s="156" t="n">
        <x:v>180</x:v>
      </x:c>
      <x:c r="I129" s="158" t="str">
        <x:v>BUDGETARY ALLOWANCE</x:v>
      </x:c>
      <x:c r="J129" s="158" t="str">
        <x:v>Wildberries</x:v>
      </x:c>
      <x:c r="K129" s="158" t="str">
        <x:v>SEARCH / VERIFY</x:v>
      </x:c>
      <x:c r="L129" s="159" t="str">
        <x:v>https://www.wildberries.ru/catalog/0/search.aspx?search=%D1%8D%D1%84%D0%B8%D1%80%D0%BD%D0%BE%D0%B5%20%D0%BC%D0%B0%D1%81%D0%BB%D0%BE%20%D0%BF%D0%B8%D1%85%D1%82%D1%8B</x:v>
      </x:c>
    </x:row>
  </x:sheetData>
  <x:mergeCells>
    <x:mergeCell ref="A1:L1"/>
    <x:mergeCell ref="A2:L2"/>
  </x:mergeCells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.25" hidden="0" customWidth="1"/>
    <x:col min="2" max="2" width="13.75" hidden="0" customWidth="1"/>
    <x:col min="3" max="3" width="17.5" hidden="0" customWidth="1"/>
    <x:col min="4" max="4" width="17.5" hidden="0" customWidth="1"/>
    <x:col min="5" max="5" width="17.5" hidden="0" customWidth="1"/>
    <x:col min="6" max="6" width="17.5" hidden="0" customWidth="1"/>
    <x:col min="7" max="7" width="17.5" hidden="0" customWidth="1"/>
    <x:col min="8" max="8" width="17.5" hidden="0" customWidth="1"/>
    <x:col min="9" max="9" width="15" hidden="0" customWidth="1"/>
    <x:col min="10" max="10" width="18.75" hidden="0" customWidth="1"/>
    <x:col min="11" max="11" width="14.380000114440918" hidden="0" customWidth="1"/>
    <x:col min="12" max="12" width="13.75" hidden="0" customWidth="1"/>
    <x:col min="13" max="13" width="13.75" hidden="0" customWidth="1"/>
  </x:cols>
  <x:sheetData>
    <x:row r="1" ht="19.200000762939453" hidden="0" customHeight="1">
      <x:c r="A1" s="126" t="str">
        <x:v>Financial audit v0.3 — exact tariff and procurement integration</x:v>
      </x:c>
      <x:c r="B1" s="126"/>
      <x:c r="C1" s="126"/>
      <x:c r="D1" s="126"/>
      <x:c r="E1" s="126"/>
      <x:c r="F1" s="126"/>
      <x:c r="G1" s="126"/>
      <x:c r="H1" s="126"/>
      <x:c r="I1" s="126"/>
      <x:c r="J1" s="126"/>
      <x:c r="K1" s="126"/>
      <x:c r="L1" s="126"/>
      <x:c r="M1" s="126"/>
    </x:row>
    <x:row r="2" ht="15" hidden="0" customHeight="1">
      <x:c r="A2" t="str">
        <x:v>Расчёт синхронизирован с интерактивной моделью сайта. Base = текущая гипотеза; не инвестиционная оферта.</x:v>
      </x:c>
    </x:row>
    <x:row r="3"/>
    <x:row r="4" ht="15" hidden="0" customHeight="1">
      <x:c r="A4" s="132" t="str">
        <x:v>Портфель</x:v>
      </x:c>
      <x:c r="B4" s="133" t="str">
        <x:v>Сценарий</x:v>
      </x:c>
      <x:c r="C4" s="133" t="str">
        <x:v>Build CAPEX</x:v>
      </x:c>
      <x:c r="D4" s="133" t="str">
        <x:v>Working capital</x:v>
      </x:c>
      <x:c r="E4" s="133" t="str">
        <x:v>Funding need</x:v>
      </x:c>
      <x:c r="F4" s="133" t="str">
        <x:v>Revenue Y1</x:v>
      </x:c>
      <x:c r="G4" s="133" t="str">
        <x:v>OPEX Y1</x:v>
      </x:c>
      <x:c r="H4" s="133" t="str">
        <x:v>EBITDA Y1</x:v>
      </x:c>
      <x:c r="I4" s="133" t="str">
        <x:v>EBITDA margin</x:v>
      </x:c>
      <x:c r="J4" s="133" t="str">
        <x:v>Operating cash Y1</x:v>
      </x:c>
      <x:c r="K4" s="133" t="str">
        <x:v>IRR 10Y proxy</x:v>
      </x:c>
      <x:c r="L4" s="133" t="str">
        <x:v>MOIC proxy</x:v>
      </x:c>
      <x:c r="M4" s="134" t="str">
        <x:v>Payback, лет</x:v>
      </x:c>
    </x:row>
    <x:row r="5" ht="15" hidden="0" customHeight="1">
      <x:c r="A5" s="149" t="n">
        <x:v>4</x:v>
      </x:c>
      <x:c r="B5" s="151" t="str">
        <x:v>downside</x:v>
      </x:c>
      <x:c r="C5" s="150" t="n">
        <x:v>105530219.43369016</x:v>
      </x:c>
      <x:c r="D5" s="150" t="n">
        <x:v>3043134.9164048</x:v>
      </x:c>
      <x:c r="E5" s="150" t="n">
        <x:f>C5+D5</x:f>
        <x:v>108573354.35009496</x:v>
      </x:c>
      <x:c r="F5" s="150" t="n">
        <x:v>14009227.96632222</x:v>
      </x:c>
      <x:c r="G5" s="150" t="n">
        <x:f>F5-H5</x:f>
        <x:v>23363859.808725107</x:v>
      </x:c>
      <x:c r="H5" s="150" t="n">
        <x:v>-9354631.842402887</x:v>
      </x:c>
      <x:c r="I5" s="154" t="n">
        <x:f>H5/F5</x:f>
        <x:v>-0.6677478491242452</x:v>
      </x:c>
      <x:c r="J5" s="150" t="n">
        <x:v>-9915000.961055778</x:v>
      </x:c>
      <x:c r="K5" s="154"/>
      <x:c r="L5" s="165" t="n">
        <x:v>-1.0513579474167714</x:v>
      </x:c>
      <x:c r="M5" s="166"/>
    </x:row>
    <x:row r="6" ht="15" hidden="0" customHeight="1">
      <x:c r="A6" s="149" t="n">
        <x:v>4</x:v>
      </x:c>
      <x:c r="B6" s="151" t="str">
        <x:v>base</x:v>
      </x:c>
      <x:c r="C6" s="150" t="n">
        <x:v>91765408.20320882</x:v>
      </x:c>
      <x:c r="D6" s="150" t="n">
        <x:v>2961976.054176051</x:v>
      </x:c>
      <x:c r="E6" s="150" t="n">
        <x:f>C6+D6</x:f>
        <x:v>94727384.25738487</x:v>
      </x:c>
      <x:c r="F6" s="150" t="n">
        <x:v>18167104.104968</x:v>
      </x:c>
      <x:c r="G6" s="150" t="n">
        <x:f>F6-H6</x:f>
        <x:v>23398160.458855152</x:v>
      </x:c>
      <x:c r="H6" s="150" t="n">
        <x:v>-5231056.353887152</x:v>
      </x:c>
      <x:c r="I6" s="154" t="n">
        <x:f>H6/F6</x:f>
        <x:v>-0.2879411227932943</x:v>
      </x:c>
      <x:c r="J6" s="150" t="n">
        <x:v>-5962735.775422946</x:v>
      </x:c>
      <x:c r="K6" s="154"/>
      <x:c r="L6" s="165" t="n">
        <x:v>-0.6476385732240183</x:v>
      </x:c>
      <x:c r="M6" s="166"/>
    </x:row>
    <x:row r="7" ht="15" hidden="0" customHeight="1">
      <x:c r="A7" s="149" t="n">
        <x:v>4</x:v>
      </x:c>
      <x:c r="B7" s="151" t="str">
        <x:v>upside</x:v>
      </x:c>
      <x:c r="C7" s="150" t="n">
        <x:v>87177137.79304838</x:v>
      </x:c>
      <x:c r="D7" s="150" t="n">
        <x:v>3053790.969425202</x:v>
      </x:c>
      <x:c r="E7" s="150" t="n">
        <x:f>C7+D7</x:f>
        <x:v>90230928.76247358</x:v>
      </x:c>
      <x:c r="F7" s="150" t="n">
        <x:v>22593323.30410578</x:v>
      </x:c>
      <x:c r="G7" s="150" t="n">
        <x:f>F7-H7</x:f>
        <x:v>24495808.77812776</x:v>
      </x:c>
      <x:c r="H7" s="150" t="n">
        <x:v>-1902485.4740219805</x:v>
      </x:c>
      <x:c r="I7" s="154" t="n">
        <x:f>H7/F7</x:f>
        <x:v>-0.08420564997962254</x:v>
      </x:c>
      <x:c r="J7" s="150" t="n">
        <x:v>-2917138.600913254</x:v>
      </x:c>
      <x:c r="K7" s="154"/>
      <x:c r="L7" s="165" t="n">
        <x:v>-0.2269508183215869</x:v>
      </x:c>
      <x:c r="M7" s="166"/>
    </x:row>
    <x:row r="8" ht="15" hidden="0" customHeight="1">
      <x:c r="A8" s="149" t="n">
        <x:v>9</x:v>
      </x:c>
      <x:c r="B8" s="151" t="str">
        <x:v>downside</x:v>
      </x:c>
      <x:c r="C8" s="150" t="n">
        <x:v>205323689.3718024</x:v>
      </x:c>
      <x:c r="D8" s="150" t="n">
        <x:v>3478100.776110872</x:v>
      </x:c>
      <x:c r="E8" s="150" t="n">
        <x:f>C8+D8</x:f>
        <x:v>208801790.14791325</x:v>
      </x:c>
      <x:c r="F8" s="150" t="n">
        <x:v>31426611.308745448</x:v>
      </x:c>
      <x:c r="G8" s="150" t="n">
        <x:f>F8-H8</x:f>
        <x:v>32354561.946770992</x:v>
      </x:c>
      <x:c r="H8" s="150" t="n">
        <x:v>-927950.6380255441</x:v>
      </x:c>
      <x:c r="I8" s="154" t="n">
        <x:f>H8/F8</x:f>
        <x:v>-0.02952754367656918</x:v>
      </x:c>
      <x:c r="J8" s="150" t="n">
        <x:v>-2453775.9364250842</x:v>
      </x:c>
      <x:c r="K8" s="154"/>
      <x:c r="L8" s="165" t="n">
        <x:v>-0.019742943919466394</x:v>
      </x:c>
      <x:c r="M8" s="166"/>
    </x:row>
    <x:row r="9" ht="15" hidden="0" customHeight="1">
      <x:c r="A9" s="149" t="n">
        <x:v>9</x:v>
      </x:c>
      <x:c r="B9" s="151" t="str">
        <x:v>base</x:v>
      </x:c>
      <x:c r="C9" s="150" t="n">
        <x:v>178542338.58417597</x:v>
      </x:c>
      <x:c r="D9" s="150" t="n">
        <x:v>3413918.9201489748</x:v>
      </x:c>
      <x:c r="E9" s="150" t="n">
        <x:f>C9+D9</x:f>
        <x:v>181956257.50432494</x:v>
      </x:c>
      <x:c r="F9" s="150" t="n">
        <x:v>40738248.56542508</x:v>
      </x:c>
      <x:c r="G9" s="150" t="n">
        <x:f>F9-H9</x:f>
        <x:v>33148614.42512573</x:v>
      </x:c>
      <x:c r="H9" s="150" t="n">
        <x:v>7589634.140299353</x:v>
      </x:c>
      <x:c r="I9" s="154" t="n">
        <x:f>H9/F9</x:f>
        <x:v>0.18630241621974744</x:v>
      </x:c>
      <x:c r="J9" s="150" t="n">
        <x:v>4971220.87593634</x:v>
      </x:c>
      <x:c r="K9" s="154" t="n">
        <x:v>0.010245959291934947</x:v>
      </x:c>
      <x:c r="L9" s="165" t="n">
        <x:v>1.0858984549844668</x:v>
      </x:c>
      <x:c r="M9" s="166" t="n">
        <x:v>9.864315268064248</x:v>
      </x:c>
    </x:row>
    <x:row r="10" ht="15" hidden="0" customHeight="1">
      <x:c r="A10" s="149" t="n">
        <x:v>9</x:v>
      </x:c>
      <x:c r="B10" s="151" t="str">
        <x:v>upside</x:v>
      </x:c>
      <x:c r="C10" s="150" t="n">
        <x:v>169615221.6549672</x:v>
      </x:c>
      <x:c r="D10" s="150" t="n">
        <x:v>3552890.606024373</x:v>
      </x:c>
      <x:c r="E10" s="150" t="n">
        <x:f>C10+D10</x:f>
        <x:v>173168112.26099157</x:v>
      </x:c>
      <x:c r="F10" s="150" t="n">
        <x:v>50649220.181391366</x:v>
      </x:c>
      <x:c r="G10" s="150" t="n">
        <x:f>F10-H10</x:f>
        <x:v>35219238.7389351</x:v>
      </x:c>
      <x:c r="H10" s="150" t="n">
        <x:v>15429981.442456264</x:v>
      </x:c>
      <x:c r="I10" s="154" t="n">
        <x:f>H10/F10</x:f>
        <x:v>0.3046440080853461</x:v>
      </x:c>
      <x:c r="J10" s="150" t="n">
        <x:v>11501881.743092658</x:v>
      </x:c>
      <x:c r="K10" s="154" t="n">
        <x:v>0.10688525438942975</x:v>
      </x:c>
      <x:c r="L10" s="165" t="n">
        <x:v>2.171964099283969</x:v>
      </x:c>
      <x:c r="M10" s="166" t="n">
        <x:v>9.068157778278794</x:v>
      </x:c>
    </x:row>
    <x:row r="11" ht="15" hidden="0" customHeight="1">
      <x:c r="A11" s="149" t="n">
        <x:v>20</x:v>
      </x:c>
      <x:c r="B11" s="151" t="str">
        <x:v>downside</x:v>
      </x:c>
      <x:c r="C11" s="150" t="n">
        <x:v>337161370.320009</x:v>
      </x:c>
      <x:c r="D11" s="150" t="n">
        <x:v>4506423.43882429</x:v>
      </x:c>
      <x:c r="E11" s="150" t="n">
        <x:f>C11+D11</x:f>
        <x:v>341667793.7588333</x:v>
      </x:c>
      <x:c r="F11" s="150" t="n">
        <x:v>69669533.36969289</x:v>
      </x:c>
      <x:c r="G11" s="150" t="n">
        <x:f>F11-H11</x:f>
        <x:v>52562168.55218351</x:v>
      </x:c>
      <x:c r="H11" s="150" t="n">
        <x:v>17107364.817509383</x:v>
      </x:c>
      <x:c r="I11" s="154" t="n">
        <x:f>H11/F11</x:f>
        <x:v>0.24555015643252892</x:v>
      </x:c>
      <x:c r="J11" s="150" t="n">
        <x:v>12144165.46237649</x:v>
      </x:c>
      <x:c r="K11" s="154" t="n">
        <x:v>0.03277433336927127</x:v>
      </x:c>
      <x:c r="L11" s="165" t="n">
        <x:v>1.2933173911288947</x:v>
      </x:c>
      <x:c r="M11" s="166" t="n">
        <x:v>9.609869620804506</x:v>
      </x:c>
    </x:row>
    <x:row r="12" ht="15" hidden="0" customHeight="1">
      <x:c r="A12" s="149" t="n">
        <x:v>20</x:v>
      </x:c>
      <x:c r="B12" s="151" t="str">
        <x:v>base</x:v>
      </x:c>
      <x:c r="C12" s="150" t="n">
        <x:v>293183800.2782687</x:v>
      </x:c>
      <x:c r="D12" s="150" t="n">
        <x:v>4476771.463891694</x:v>
      </x:c>
      <x:c r="E12" s="150" t="n">
        <x:f>C12+D12</x:f>
        <x:v>297660571.7421604</x:v>
      </x:c>
      <x:c r="F12" s="150" t="n">
        <x:v>90284577.84182836</x:v>
      </x:c>
      <x:c r="G12" s="150" t="n">
        <x:f>F12-H12</x:f>
        <x:v>55015815.865082346</x:v>
      </x:c>
      <x:c r="H12" s="150" t="n">
        <x:v>35268761.976746015</x:v>
      </x:c>
      <x:c r="I12" s="154" t="n">
        <x:f>H12/F12</x:f>
        <x:v>0.3906399389554014</x:v>
      </x:c>
      <x:c r="J12" s="150" t="n">
        <x:v>27246019.07082642</x:v>
      </x:c>
      <x:c r="K12" s="154" t="n">
        <x:v>0.1524305239493794</x:v>
      </x:c>
      <x:c r="L12" s="165" t="n">
        <x:v>2.867298491335282</x:v>
      </x:c>
      <x:c r="M12" s="166" t="n">
        <x:v>7.719754536603251</x:v>
      </x:c>
    </x:row>
    <x:row r="13" ht="15" hidden="0" customHeight="1">
      <x:c r="A13" s="155" t="n">
        <x:v>20</x:v>
      </x:c>
      <x:c r="B13" s="158" t="str">
        <x:v>upside</x:v>
      </x:c>
      <x:c r="C13" s="156" t="n">
        <x:v>278524610.26435524</x:v>
      </x:c>
      <x:c r="D13" s="156" t="n">
        <x:v>4721468.546396684</x:v>
      </x:c>
      <x:c r="E13" s="156" t="n">
        <x:f>C13+D13</x:f>
        <x:v>283246078.8107519</x:v>
      </x:c>
      <x:c r="F13" s="156" t="n">
        <x:v>112223587.50914232</x:v>
      </x:c>
      <x:c r="G13" s="156" t="n">
        <x:f>F13-H13</x:f>
        <x:v>59244139.84322934</x:v>
      </x:c>
      <x:c r="H13" s="156" t="n">
        <x:v>52979447.665912986</x:v>
      </x:c>
      <x:c r="I13" s="157" t="n">
        <x:f>H13/F13</x:f>
        <x:v>0.47208834472162103</x:v>
      </x:c>
      <x:c r="J13" s="156" t="n">
        <x:v>41665822.890751764</x:v>
      </x:c>
      <x:c r="K13" s="157" t="n">
        <x:v>0.23504964646866278</x:v>
      </x:c>
      <x:c r="L13" s="167" t="n">
        <x:v>4.421906422112206</x:v>
      </x:c>
      <x:c r="M13" s="168" t="n">
        <x:v>5.358338640536758</x:v>
      </x:c>
    </x:row>
  </x:sheetData>
  <x:mergeCells>
    <x:mergeCell ref="A1:M1"/>
    <x:mergeCell ref="A2:M2"/>
  </x:mergeCells>
  <x:pageMargins left="0.7" right="0.7" top="0.75" bottom="0.75" header="0.3" footer="0.3"/>
</x:worksheet>
</file>